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ooliogroup-my.sharepoint.com/personal/dia_sanjaasuren_oolio_com/Documents/Documents/RBA/"/>
    </mc:Choice>
  </mc:AlternateContent>
  <xr:revisionPtr revIDLastSave="100" documentId="8_{2AE7BF4C-418B-43FB-89FE-AD8B70C6CBD2}" xr6:coauthVersionLast="47" xr6:coauthVersionMax="47" xr10:uidLastSave="{57830A7B-CF9E-4447-B5BE-CE836E0B1BE7}"/>
  <bookViews>
    <workbookView xWindow="9990" yWindow="10790" windowWidth="19420" windowHeight="11500" activeTab="7" xr2:uid="{00000000-000D-0000-FFFF-FFFF00000000}"/>
  </bookViews>
  <sheets>
    <sheet name="TTV By Card" sheetId="1" r:id="rId1"/>
    <sheet name="MSF By Card" sheetId="2" r:id="rId2"/>
    <sheet name="COA by Card" sheetId="3" r:id="rId3"/>
    <sheet name="GP Summary" sheetId="6" r:id="rId4"/>
    <sheet name="GP by Card Type" sheetId="4" r:id="rId5"/>
    <sheet name="Annualized" sheetId="8" r:id="rId6"/>
    <sheet name="Pie Chart" sheetId="5" r:id="rId7"/>
    <sheet name="What If Options" sheetId="12" r:id="rId8"/>
    <sheet name="Scenarios" sheetId="13" r:id="rId9"/>
    <sheet name="Working Paper 1" sheetId="9" r:id="rId10"/>
    <sheet name="Working Paper 2" sheetId="10" r:id="rId11"/>
    <sheet name="Working Paper 3" sheetId="11" r:id="rId12"/>
  </sheets>
  <calcPr calcId="191028"/>
  <pivotCaches>
    <pivotCache cacheId="0" r:id="rId13"/>
    <pivotCache cacheId="1" r:id="rId14"/>
    <pivotCache cacheId="2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2" l="1"/>
  <c r="E6" i="11"/>
  <c r="C16" i="12"/>
  <c r="L55" i="1"/>
  <c r="D55" i="1"/>
  <c r="E55" i="1"/>
  <c r="F55" i="1"/>
  <c r="G55" i="1"/>
  <c r="H55" i="1"/>
  <c r="C55" i="1"/>
  <c r="B25" i="12"/>
  <c r="B23" i="12"/>
  <c r="B21" i="12"/>
  <c r="B22" i="12"/>
  <c r="B20" i="12"/>
  <c r="B19" i="12"/>
  <c r="B18" i="12"/>
  <c r="B17" i="12"/>
  <c r="B16" i="12"/>
  <c r="Q80" i="6"/>
  <c r="J80" i="6"/>
  <c r="AG80" i="6" s="1"/>
  <c r="I80" i="6"/>
  <c r="H80" i="6"/>
  <c r="G80" i="6"/>
  <c r="F80" i="6"/>
  <c r="E80" i="6"/>
  <c r="S80" i="6" s="1"/>
  <c r="D80" i="6"/>
  <c r="R80" i="6" s="1"/>
  <c r="C80" i="6"/>
  <c r="K79" i="6"/>
  <c r="J79" i="6"/>
  <c r="I79" i="6"/>
  <c r="H79" i="6"/>
  <c r="G79" i="6"/>
  <c r="F79" i="6"/>
  <c r="E79" i="6"/>
  <c r="S79" i="6" s="1"/>
  <c r="D79" i="6"/>
  <c r="R79" i="6" s="1"/>
  <c r="C79" i="6"/>
  <c r="Q79" i="6" s="1"/>
  <c r="AA78" i="6"/>
  <c r="J78" i="6"/>
  <c r="K78" i="6" s="1"/>
  <c r="I78" i="6"/>
  <c r="H78" i="6"/>
  <c r="G78" i="6"/>
  <c r="F78" i="6"/>
  <c r="E78" i="6"/>
  <c r="S78" i="6" s="1"/>
  <c r="D78" i="6"/>
  <c r="R78" i="6" s="1"/>
  <c r="C78" i="6"/>
  <c r="Q78" i="6" s="1"/>
  <c r="AA77" i="6"/>
  <c r="J77" i="6"/>
  <c r="AG77" i="6" s="1"/>
  <c r="I77" i="6"/>
  <c r="AF77" i="6" s="1"/>
  <c r="H77" i="6"/>
  <c r="AE77" i="6" s="1"/>
  <c r="G77" i="6"/>
  <c r="AD77" i="6" s="1"/>
  <c r="F77" i="6"/>
  <c r="AC77" i="6" s="1"/>
  <c r="E77" i="6"/>
  <c r="D77" i="6"/>
  <c r="C77" i="6"/>
  <c r="Q77" i="6" s="1"/>
  <c r="I56" i="4"/>
  <c r="D56" i="4"/>
  <c r="J55" i="4"/>
  <c r="J56" i="4" s="1"/>
  <c r="I55" i="4"/>
  <c r="H55" i="4"/>
  <c r="H56" i="4" s="1"/>
  <c r="G55" i="4"/>
  <c r="G56" i="4" s="1"/>
  <c r="F55" i="4"/>
  <c r="F56" i="4" s="1"/>
  <c r="E55" i="4"/>
  <c r="E56" i="4" s="1"/>
  <c r="D55" i="4"/>
  <c r="C55" i="4"/>
  <c r="K55" i="4" s="1"/>
  <c r="J67" i="3"/>
  <c r="I67" i="3"/>
  <c r="H67" i="3"/>
  <c r="G67" i="3"/>
  <c r="F67" i="3"/>
  <c r="E67" i="3"/>
  <c r="D67" i="3"/>
  <c r="C67" i="3"/>
  <c r="K67" i="3" s="1"/>
  <c r="J66" i="3"/>
  <c r="I66" i="3"/>
  <c r="H66" i="3"/>
  <c r="G66" i="3"/>
  <c r="F66" i="3"/>
  <c r="E66" i="3"/>
  <c r="D66" i="3"/>
  <c r="C66" i="3"/>
  <c r="K56" i="2"/>
  <c r="K55" i="2"/>
  <c r="K56" i="1"/>
  <c r="D67" i="6"/>
  <c r="J70" i="4"/>
  <c r="J71" i="4" s="1"/>
  <c r="I70" i="4"/>
  <c r="I71" i="4" s="1"/>
  <c r="H70" i="4"/>
  <c r="H71" i="4" s="1"/>
  <c r="G70" i="4"/>
  <c r="G71" i="4" s="1"/>
  <c r="F70" i="4"/>
  <c r="E70" i="4"/>
  <c r="E71" i="4" s="1"/>
  <c r="D70" i="4"/>
  <c r="C70" i="4"/>
  <c r="F68" i="4"/>
  <c r="J67" i="4"/>
  <c r="J68" i="4" s="1"/>
  <c r="I67" i="4"/>
  <c r="I68" i="4" s="1"/>
  <c r="H67" i="4"/>
  <c r="G67" i="4"/>
  <c r="F67" i="4"/>
  <c r="E67" i="4"/>
  <c r="E68" i="4" s="1"/>
  <c r="D67" i="4"/>
  <c r="D68" i="4" s="1"/>
  <c r="C67" i="4"/>
  <c r="C68" i="4" s="1"/>
  <c r="J61" i="4"/>
  <c r="J62" i="4" s="1"/>
  <c r="I61" i="4"/>
  <c r="H61" i="4"/>
  <c r="H91" i="4" s="1"/>
  <c r="G61" i="4"/>
  <c r="G91" i="4" s="1"/>
  <c r="F61" i="4"/>
  <c r="F91" i="4" s="1"/>
  <c r="E61" i="4"/>
  <c r="E91" i="4" s="1"/>
  <c r="D61" i="4"/>
  <c r="D91" i="4" s="1"/>
  <c r="C61" i="4"/>
  <c r="C62" i="4" s="1"/>
  <c r="J115" i="3"/>
  <c r="I115" i="3"/>
  <c r="I99" i="3" s="1"/>
  <c r="H115" i="3"/>
  <c r="H99" i="3" s="1"/>
  <c r="G115" i="3"/>
  <c r="F115" i="3"/>
  <c r="E115" i="3"/>
  <c r="E99" i="3" s="1"/>
  <c r="E102" i="3" s="1"/>
  <c r="D115" i="3"/>
  <c r="D99" i="3" s="1"/>
  <c r="C115" i="3"/>
  <c r="C99" i="3" s="1"/>
  <c r="K113" i="3"/>
  <c r="K112" i="3"/>
  <c r="K111" i="3"/>
  <c r="K110" i="3"/>
  <c r="K109" i="3"/>
  <c r="K108" i="3"/>
  <c r="K107" i="3"/>
  <c r="J101" i="3"/>
  <c r="J99" i="3"/>
  <c r="J102" i="3" s="1"/>
  <c r="J104" i="3" s="1"/>
  <c r="G99" i="3"/>
  <c r="G102" i="3" s="1"/>
  <c r="F99" i="3"/>
  <c r="F102" i="3" s="1"/>
  <c r="J98" i="3"/>
  <c r="I98" i="3"/>
  <c r="H98" i="3"/>
  <c r="G98" i="3"/>
  <c r="F98" i="3"/>
  <c r="E98" i="3"/>
  <c r="D98" i="3"/>
  <c r="C98" i="3"/>
  <c r="K96" i="3"/>
  <c r="K93" i="3"/>
  <c r="J92" i="3"/>
  <c r="I92" i="3"/>
  <c r="H92" i="3"/>
  <c r="G92" i="3"/>
  <c r="F92" i="3"/>
  <c r="E92" i="3"/>
  <c r="D92" i="3"/>
  <c r="C92" i="3"/>
  <c r="K90" i="3"/>
  <c r="K92" i="3" s="1"/>
  <c r="K87" i="3"/>
  <c r="K89" i="3" s="1"/>
  <c r="K84" i="3"/>
  <c r="K81" i="3"/>
  <c r="K78" i="3"/>
  <c r="H77" i="3"/>
  <c r="K75" i="3"/>
  <c r="K77" i="3" s="1"/>
  <c r="K72" i="3"/>
  <c r="K93" i="2"/>
  <c r="K79" i="2" s="1"/>
  <c r="J93" i="2"/>
  <c r="J79" i="2" s="1"/>
  <c r="I93" i="2"/>
  <c r="I79" i="2" s="1"/>
  <c r="H93" i="2"/>
  <c r="G93" i="2"/>
  <c r="F93" i="2"/>
  <c r="E93" i="2"/>
  <c r="E79" i="2" s="1"/>
  <c r="D93" i="2"/>
  <c r="D79" i="2" s="1"/>
  <c r="C93" i="2"/>
  <c r="L91" i="2"/>
  <c r="L90" i="2"/>
  <c r="L89" i="2"/>
  <c r="L88" i="2"/>
  <c r="L87" i="2"/>
  <c r="L86" i="2"/>
  <c r="L85" i="2"/>
  <c r="K82" i="2"/>
  <c r="J82" i="2"/>
  <c r="J89" i="3" s="1"/>
  <c r="I82" i="2"/>
  <c r="I89" i="3" s="1"/>
  <c r="H82" i="2"/>
  <c r="H89" i="3" s="1"/>
  <c r="G82" i="2"/>
  <c r="G89" i="3" s="1"/>
  <c r="F82" i="2"/>
  <c r="F89" i="3" s="1"/>
  <c r="E82" i="2"/>
  <c r="E89" i="3" s="1"/>
  <c r="D82" i="2"/>
  <c r="D89" i="3" s="1"/>
  <c r="C82" i="2"/>
  <c r="C89" i="3" s="1"/>
  <c r="L81" i="2"/>
  <c r="H79" i="2"/>
  <c r="G79" i="2"/>
  <c r="F79" i="2"/>
  <c r="C79" i="2"/>
  <c r="K78" i="2"/>
  <c r="J78" i="2"/>
  <c r="J83" i="3" s="1"/>
  <c r="I78" i="2"/>
  <c r="I83" i="3" s="1"/>
  <c r="H78" i="2"/>
  <c r="H83" i="3" s="1"/>
  <c r="G78" i="2"/>
  <c r="G83" i="3" s="1"/>
  <c r="F78" i="2"/>
  <c r="F83" i="3" s="1"/>
  <c r="E78" i="2"/>
  <c r="E83" i="3" s="1"/>
  <c r="D78" i="2"/>
  <c r="D83" i="3" s="1"/>
  <c r="C78" i="2"/>
  <c r="C83" i="3" s="1"/>
  <c r="L77" i="2"/>
  <c r="K76" i="2"/>
  <c r="J76" i="2"/>
  <c r="J80" i="3" s="1"/>
  <c r="I76" i="2"/>
  <c r="I80" i="3" s="1"/>
  <c r="H76" i="2"/>
  <c r="H80" i="3" s="1"/>
  <c r="G76" i="2"/>
  <c r="G80" i="3" s="1"/>
  <c r="F76" i="2"/>
  <c r="F80" i="3" s="1"/>
  <c r="E76" i="2"/>
  <c r="E80" i="3" s="1"/>
  <c r="D76" i="2"/>
  <c r="D80" i="3" s="1"/>
  <c r="C76" i="2"/>
  <c r="C80" i="3" s="1"/>
  <c r="L75" i="2"/>
  <c r="K74" i="2"/>
  <c r="J74" i="2"/>
  <c r="J77" i="3" s="1"/>
  <c r="I74" i="2"/>
  <c r="I77" i="3" s="1"/>
  <c r="H74" i="2"/>
  <c r="G74" i="2"/>
  <c r="G77" i="3" s="1"/>
  <c r="F74" i="2"/>
  <c r="F77" i="3" s="1"/>
  <c r="E74" i="2"/>
  <c r="E77" i="3" s="1"/>
  <c r="D74" i="2"/>
  <c r="D77" i="3" s="1"/>
  <c r="C74" i="2"/>
  <c r="C77" i="3" s="1"/>
  <c r="L73" i="2"/>
  <c r="K72" i="2"/>
  <c r="J72" i="2"/>
  <c r="J74" i="3" s="1"/>
  <c r="I72" i="2"/>
  <c r="I74" i="3" s="1"/>
  <c r="H72" i="2"/>
  <c r="H74" i="3" s="1"/>
  <c r="G72" i="2"/>
  <c r="G74" i="3" s="1"/>
  <c r="F72" i="2"/>
  <c r="F74" i="3" s="1"/>
  <c r="E72" i="2"/>
  <c r="E74" i="3" s="1"/>
  <c r="D72" i="2"/>
  <c r="D74" i="3" s="1"/>
  <c r="C72" i="2"/>
  <c r="C74" i="3" s="1"/>
  <c r="L71" i="2"/>
  <c r="K70" i="2"/>
  <c r="J70" i="2"/>
  <c r="I70" i="2"/>
  <c r="H70" i="2"/>
  <c r="G70" i="2"/>
  <c r="F70" i="2"/>
  <c r="E70" i="2"/>
  <c r="D70" i="2"/>
  <c r="C70" i="2"/>
  <c r="L69" i="2"/>
  <c r="K68" i="2"/>
  <c r="J68" i="2"/>
  <c r="I68" i="2"/>
  <c r="H68" i="2"/>
  <c r="G68" i="2"/>
  <c r="F68" i="2"/>
  <c r="E68" i="2"/>
  <c r="D68" i="2"/>
  <c r="C68" i="2"/>
  <c r="L67" i="2"/>
  <c r="K66" i="2"/>
  <c r="J66" i="2"/>
  <c r="I66" i="2"/>
  <c r="H66" i="2"/>
  <c r="G66" i="2"/>
  <c r="F66" i="2"/>
  <c r="E66" i="2"/>
  <c r="D66" i="2"/>
  <c r="C66" i="2"/>
  <c r="L65" i="2"/>
  <c r="K64" i="2"/>
  <c r="J64" i="2"/>
  <c r="I64" i="2"/>
  <c r="H64" i="2"/>
  <c r="G64" i="2"/>
  <c r="F64" i="2"/>
  <c r="E64" i="2"/>
  <c r="D64" i="2"/>
  <c r="C64" i="2"/>
  <c r="L63" i="2"/>
  <c r="K62" i="2"/>
  <c r="J62" i="2"/>
  <c r="I62" i="2"/>
  <c r="H62" i="2"/>
  <c r="G62" i="2"/>
  <c r="F62" i="2"/>
  <c r="E62" i="2"/>
  <c r="D62" i="2"/>
  <c r="C62" i="2"/>
  <c r="L61" i="2"/>
  <c r="K47" i="2"/>
  <c r="D55" i="2" s="1"/>
  <c r="K48" i="2"/>
  <c r="K96" i="1"/>
  <c r="J96" i="1"/>
  <c r="I96" i="1"/>
  <c r="H96" i="1"/>
  <c r="H80" i="1" s="1"/>
  <c r="H82" i="1" s="1"/>
  <c r="G96" i="1"/>
  <c r="G80" i="1" s="1"/>
  <c r="F96" i="1"/>
  <c r="F80" i="1" s="1"/>
  <c r="E96" i="1"/>
  <c r="E80" i="1" s="1"/>
  <c r="D96" i="1"/>
  <c r="D80" i="1" s="1"/>
  <c r="C96" i="1"/>
  <c r="J80" i="1"/>
  <c r="I80" i="1"/>
  <c r="I82" i="1" s="1"/>
  <c r="C80" i="1"/>
  <c r="K78" i="1"/>
  <c r="K76" i="1"/>
  <c r="K74" i="1"/>
  <c r="K72" i="1"/>
  <c r="K70" i="1"/>
  <c r="K68" i="1"/>
  <c r="K66" i="1"/>
  <c r="K64" i="1"/>
  <c r="K62" i="1"/>
  <c r="K47" i="1"/>
  <c r="D46" i="1"/>
  <c r="E46" i="1"/>
  <c r="E67" i="6" s="1"/>
  <c r="F46" i="1"/>
  <c r="F67" i="6" s="1"/>
  <c r="C46" i="1"/>
  <c r="C67" i="6" s="1"/>
  <c r="Z67" i="6" s="1"/>
  <c r="AU36" i="11"/>
  <c r="AM36" i="11"/>
  <c r="AE40" i="11"/>
  <c r="AE39" i="11"/>
  <c r="E202" i="12"/>
  <c r="N189" i="12"/>
  <c r="J189" i="12"/>
  <c r="F189" i="12"/>
  <c r="S188" i="12"/>
  <c r="S191" i="12" s="1"/>
  <c r="N188" i="12"/>
  <c r="J188" i="12"/>
  <c r="F188" i="12"/>
  <c r="N187" i="12"/>
  <c r="J187" i="12"/>
  <c r="F187" i="12"/>
  <c r="N186" i="12"/>
  <c r="J186" i="12"/>
  <c r="F186" i="12"/>
  <c r="N185" i="12"/>
  <c r="J185" i="12"/>
  <c r="F185" i="12"/>
  <c r="S184" i="12"/>
  <c r="N184" i="12"/>
  <c r="J184" i="12"/>
  <c r="F184" i="12"/>
  <c r="S183" i="12"/>
  <c r="N183" i="12"/>
  <c r="J183" i="12"/>
  <c r="F183" i="12"/>
  <c r="S182" i="12"/>
  <c r="N182" i="12"/>
  <c r="J182" i="12"/>
  <c r="F182" i="12"/>
  <c r="E173" i="12"/>
  <c r="N160" i="12"/>
  <c r="J160" i="12"/>
  <c r="F160" i="12"/>
  <c r="S159" i="12"/>
  <c r="S162" i="12" s="1"/>
  <c r="N159" i="12"/>
  <c r="J159" i="12"/>
  <c r="F159" i="12"/>
  <c r="N158" i="12"/>
  <c r="J158" i="12"/>
  <c r="F158" i="12"/>
  <c r="N157" i="12"/>
  <c r="J157" i="12"/>
  <c r="F157" i="12"/>
  <c r="N156" i="12"/>
  <c r="J156" i="12"/>
  <c r="F156" i="12"/>
  <c r="S155" i="12"/>
  <c r="N155" i="12"/>
  <c r="J155" i="12"/>
  <c r="F155" i="12"/>
  <c r="S154" i="12"/>
  <c r="N154" i="12"/>
  <c r="J154" i="12"/>
  <c r="F154" i="12"/>
  <c r="S153" i="12"/>
  <c r="N153" i="12"/>
  <c r="J153" i="12"/>
  <c r="F153" i="12"/>
  <c r="E142" i="12"/>
  <c r="N129" i="12"/>
  <c r="J129" i="12"/>
  <c r="F129" i="12"/>
  <c r="S128" i="12"/>
  <c r="S131" i="12" s="1"/>
  <c r="N128" i="12"/>
  <c r="J128" i="12"/>
  <c r="F128" i="12"/>
  <c r="N127" i="12"/>
  <c r="J127" i="12"/>
  <c r="F127" i="12"/>
  <c r="N126" i="12"/>
  <c r="J126" i="12"/>
  <c r="F126" i="12"/>
  <c r="N125" i="12"/>
  <c r="J125" i="12"/>
  <c r="F125" i="12"/>
  <c r="S124" i="12"/>
  <c r="N124" i="12"/>
  <c r="J124" i="12"/>
  <c r="F124" i="12"/>
  <c r="S123" i="12"/>
  <c r="N123" i="12"/>
  <c r="J123" i="12"/>
  <c r="F123" i="12"/>
  <c r="S122" i="12"/>
  <c r="N122" i="12"/>
  <c r="J122" i="12"/>
  <c r="F122" i="12"/>
  <c r="S98" i="12"/>
  <c r="S101" i="12" s="1"/>
  <c r="S94" i="12"/>
  <c r="S93" i="12"/>
  <c r="S92" i="12"/>
  <c r="S68" i="12"/>
  <c r="S71" i="12" s="1"/>
  <c r="S64" i="12"/>
  <c r="S63" i="12"/>
  <c r="S62" i="12"/>
  <c r="AE78" i="6" l="1"/>
  <c r="AE80" i="6"/>
  <c r="AE79" i="6"/>
  <c r="AD79" i="6"/>
  <c r="S77" i="6"/>
  <c r="AD78" i="6"/>
  <c r="AC78" i="6"/>
  <c r="AB77" i="6"/>
  <c r="AB78" i="6"/>
  <c r="AB79" i="6"/>
  <c r="Z80" i="6"/>
  <c r="K77" i="6"/>
  <c r="AH77" i="6" s="1"/>
  <c r="AI77" i="6" s="1"/>
  <c r="AF78" i="6"/>
  <c r="AG79" i="6"/>
  <c r="AF79" i="6"/>
  <c r="AF80" i="6"/>
  <c r="U79" i="6"/>
  <c r="AD80" i="6"/>
  <c r="AG78" i="6"/>
  <c r="Z79" i="6"/>
  <c r="AA80" i="6"/>
  <c r="R77" i="6"/>
  <c r="M77" i="6"/>
  <c r="Z77" i="6"/>
  <c r="Z78" i="6"/>
  <c r="AA79" i="6"/>
  <c r="K80" i="6"/>
  <c r="AB80" i="6"/>
  <c r="AC80" i="6"/>
  <c r="AC79" i="6"/>
  <c r="T77" i="6"/>
  <c r="T80" i="6"/>
  <c r="U80" i="6" s="1"/>
  <c r="T79" i="6"/>
  <c r="T78" i="6"/>
  <c r="U78" i="6" s="1"/>
  <c r="K56" i="4"/>
  <c r="C56" i="4"/>
  <c r="H101" i="3"/>
  <c r="H102" i="3"/>
  <c r="H104" i="3" s="1"/>
  <c r="E62" i="4"/>
  <c r="K115" i="3"/>
  <c r="G101" i="3"/>
  <c r="K98" i="3"/>
  <c r="H47" i="2"/>
  <c r="H68" i="6" s="1"/>
  <c r="F62" i="4"/>
  <c r="G47" i="2"/>
  <c r="G68" i="6" s="1"/>
  <c r="E55" i="2"/>
  <c r="F47" i="2"/>
  <c r="F68" i="6" s="1"/>
  <c r="AC68" i="6" s="1"/>
  <c r="F55" i="2"/>
  <c r="G55" i="2"/>
  <c r="R68" i="6"/>
  <c r="E47" i="2"/>
  <c r="E68" i="6" s="1"/>
  <c r="S68" i="6" s="1"/>
  <c r="K80" i="3"/>
  <c r="H55" i="2"/>
  <c r="D47" i="2"/>
  <c r="D68" i="6" s="1"/>
  <c r="I55" i="2"/>
  <c r="C47" i="2"/>
  <c r="C68" i="6" s="1"/>
  <c r="Z68" i="6" s="1"/>
  <c r="K83" i="3"/>
  <c r="J55" i="2"/>
  <c r="J47" i="2"/>
  <c r="J68" i="6" s="1"/>
  <c r="F71" i="4"/>
  <c r="C55" i="2"/>
  <c r="I47" i="2"/>
  <c r="I68" i="6" s="1"/>
  <c r="T68" i="6" s="1"/>
  <c r="K74" i="3"/>
  <c r="D62" i="4"/>
  <c r="Q67" i="6"/>
  <c r="AA67" i="6"/>
  <c r="AA68" i="6"/>
  <c r="AB67" i="6"/>
  <c r="AB68" i="6"/>
  <c r="AC67" i="6"/>
  <c r="G92" i="4"/>
  <c r="E92" i="4"/>
  <c r="D92" i="4"/>
  <c r="F92" i="4"/>
  <c r="H92" i="4"/>
  <c r="K70" i="4"/>
  <c r="G62" i="4"/>
  <c r="G68" i="4"/>
  <c r="C71" i="4"/>
  <c r="I91" i="4"/>
  <c r="H62" i="4"/>
  <c r="H68" i="4"/>
  <c r="D71" i="4"/>
  <c r="J91" i="4"/>
  <c r="K61" i="4"/>
  <c r="I62" i="4"/>
  <c r="K67" i="4"/>
  <c r="C91" i="4"/>
  <c r="F104" i="3"/>
  <c r="C101" i="3"/>
  <c r="K99" i="3"/>
  <c r="K102" i="3" s="1"/>
  <c r="C102" i="3"/>
  <c r="G104" i="3"/>
  <c r="D102" i="3"/>
  <c r="D101" i="3"/>
  <c r="I101" i="3"/>
  <c r="I102" i="3"/>
  <c r="E104" i="3"/>
  <c r="E101" i="3"/>
  <c r="F101" i="3"/>
  <c r="L79" i="2"/>
  <c r="E82" i="1"/>
  <c r="G82" i="1"/>
  <c r="D82" i="1"/>
  <c r="F82" i="1"/>
  <c r="K80" i="1"/>
  <c r="J82" i="1"/>
  <c r="C82" i="1"/>
  <c r="F162" i="12"/>
  <c r="F191" i="12"/>
  <c r="P12" i="13"/>
  <c r="F131" i="12"/>
  <c r="AH78" i="6" l="1"/>
  <c r="AH79" i="6"/>
  <c r="W77" i="6"/>
  <c r="L77" i="6"/>
  <c r="AH80" i="6"/>
  <c r="U77" i="6"/>
  <c r="V77" i="6" s="1"/>
  <c r="Q68" i="6"/>
  <c r="K68" i="6"/>
  <c r="U68" i="6"/>
  <c r="K71" i="4"/>
  <c r="K68" i="4"/>
  <c r="K62" i="4"/>
  <c r="K91" i="4"/>
  <c r="I92" i="4"/>
  <c r="C92" i="4"/>
  <c r="J92" i="4"/>
  <c r="I104" i="3"/>
  <c r="K101" i="3"/>
  <c r="K104" i="3"/>
  <c r="D104" i="3"/>
  <c r="C104" i="3"/>
  <c r="M102" i="3"/>
  <c r="S34" i="12"/>
  <c r="S33" i="12"/>
  <c r="S32" i="12"/>
  <c r="S38" i="12"/>
  <c r="S10" i="12"/>
  <c r="R7" i="12"/>
  <c r="R6" i="12"/>
  <c r="R5" i="12"/>
  <c r="K92" i="4" l="1"/>
  <c r="S41" i="12"/>
  <c r="S7" i="12"/>
  <c r="S6" i="12"/>
  <c r="S5" i="12"/>
  <c r="S22" i="12"/>
  <c r="E52" i="12"/>
  <c r="E112" i="12" l="1"/>
  <c r="N99" i="12"/>
  <c r="J99" i="12"/>
  <c r="F99" i="12"/>
  <c r="N98" i="12"/>
  <c r="J98" i="12"/>
  <c r="F98" i="12"/>
  <c r="N97" i="12"/>
  <c r="J97" i="12"/>
  <c r="F97" i="12"/>
  <c r="N96" i="12"/>
  <c r="J96" i="12"/>
  <c r="F96" i="12"/>
  <c r="N95" i="12"/>
  <c r="J95" i="12"/>
  <c r="F95" i="12"/>
  <c r="N94" i="12"/>
  <c r="J94" i="12"/>
  <c r="F94" i="12"/>
  <c r="N93" i="12"/>
  <c r="J93" i="12"/>
  <c r="F93" i="12"/>
  <c r="N92" i="12"/>
  <c r="J92" i="12"/>
  <c r="F92" i="12"/>
  <c r="E82" i="12"/>
  <c r="N69" i="12"/>
  <c r="J69" i="12"/>
  <c r="F69" i="12"/>
  <c r="N68" i="12"/>
  <c r="J68" i="12"/>
  <c r="F68" i="12"/>
  <c r="N67" i="12"/>
  <c r="J67" i="12"/>
  <c r="F67" i="12"/>
  <c r="N66" i="12"/>
  <c r="J66" i="12"/>
  <c r="F66" i="12"/>
  <c r="N65" i="12"/>
  <c r="J65" i="12"/>
  <c r="F65" i="12"/>
  <c r="N64" i="12"/>
  <c r="J64" i="12"/>
  <c r="F64" i="12"/>
  <c r="N63" i="12"/>
  <c r="J63" i="12"/>
  <c r="F63" i="12"/>
  <c r="N62" i="12"/>
  <c r="J62" i="12"/>
  <c r="F62" i="12"/>
  <c r="J32" i="12"/>
  <c r="D12" i="12"/>
  <c r="D11" i="12"/>
  <c r="D10" i="12"/>
  <c r="D9" i="12"/>
  <c r="D8" i="12"/>
  <c r="D7" i="12"/>
  <c r="D6" i="12"/>
  <c r="D5" i="12"/>
  <c r="N39" i="12"/>
  <c r="J39" i="12"/>
  <c r="F39" i="12"/>
  <c r="N38" i="12"/>
  <c r="J38" i="12"/>
  <c r="F38" i="12"/>
  <c r="N37" i="12"/>
  <c r="J37" i="12"/>
  <c r="F37" i="12"/>
  <c r="N36" i="12"/>
  <c r="J36" i="12"/>
  <c r="F36" i="12"/>
  <c r="N35" i="12"/>
  <c r="J35" i="12"/>
  <c r="F35" i="12"/>
  <c r="N34" i="12"/>
  <c r="J34" i="12"/>
  <c r="F34" i="12"/>
  <c r="N33" i="12"/>
  <c r="J33" i="12"/>
  <c r="F33" i="12"/>
  <c r="N32" i="12"/>
  <c r="F32" i="12"/>
  <c r="F41" i="12" l="1"/>
  <c r="F101" i="12"/>
  <c r="F71" i="12"/>
  <c r="N12" i="12" l="1"/>
  <c r="N11" i="12"/>
  <c r="N10" i="12"/>
  <c r="N9" i="12"/>
  <c r="N8" i="12"/>
  <c r="N7" i="12"/>
  <c r="N6" i="12"/>
  <c r="N5" i="12"/>
  <c r="J6" i="12"/>
  <c r="J7" i="12"/>
  <c r="J8" i="12"/>
  <c r="J9" i="12"/>
  <c r="J10" i="12"/>
  <c r="J11" i="12"/>
  <c r="J12" i="12"/>
  <c r="J5" i="12"/>
  <c r="F6" i="12" l="1"/>
  <c r="F12" i="12"/>
  <c r="F10" i="12"/>
  <c r="F7" i="12"/>
  <c r="F11" i="12"/>
  <c r="F8" i="12"/>
  <c r="F9" i="12"/>
  <c r="E25" i="12"/>
  <c r="F5" i="12"/>
  <c r="I26" i="11"/>
  <c r="I24" i="11"/>
  <c r="I22" i="11"/>
  <c r="D47" i="3"/>
  <c r="E47" i="3"/>
  <c r="F47" i="3"/>
  <c r="G47" i="3"/>
  <c r="H47" i="3"/>
  <c r="I47" i="3"/>
  <c r="J47" i="3"/>
  <c r="C47" i="3"/>
  <c r="K40" i="3"/>
  <c r="K41" i="3"/>
  <c r="K42" i="3"/>
  <c r="K43" i="3"/>
  <c r="K44" i="3"/>
  <c r="K45" i="3"/>
  <c r="K39" i="3"/>
  <c r="F17" i="10"/>
  <c r="F16" i="10"/>
  <c r="F18" i="10" s="1"/>
  <c r="F13" i="10"/>
  <c r="F8" i="10"/>
  <c r="C8" i="10"/>
  <c r="F7" i="10"/>
  <c r="G10" i="10"/>
  <c r="G15" i="10"/>
  <c r="G19" i="10"/>
  <c r="G22" i="10"/>
  <c r="G23" i="10"/>
  <c r="G27" i="10"/>
  <c r="G28" i="10"/>
  <c r="G29" i="10"/>
  <c r="G30" i="10"/>
  <c r="G32" i="10"/>
  <c r="G34" i="10"/>
  <c r="G36" i="10"/>
  <c r="G5" i="10"/>
  <c r="C31" i="10"/>
  <c r="C29" i="10"/>
  <c r="C20" i="10"/>
  <c r="K13" i="10"/>
  <c r="L13" i="10"/>
  <c r="M13" i="10"/>
  <c r="N13" i="10"/>
  <c r="O13" i="10"/>
  <c r="P13" i="10"/>
  <c r="J13" i="10"/>
  <c r="C11" i="10"/>
  <c r="E9" i="10"/>
  <c r="D5" i="10"/>
  <c r="E5" i="10" s="1"/>
  <c r="C6" i="10"/>
  <c r="D6" i="10" s="1"/>
  <c r="E6" i="10" s="1"/>
  <c r="E20" i="10" s="1"/>
  <c r="E24" i="10" s="1"/>
  <c r="G24" i="10" s="1"/>
  <c r="L50" i="9"/>
  <c r="L51" i="9"/>
  <c r="L52" i="9"/>
  <c r="AA40" i="8"/>
  <c r="AA31" i="8"/>
  <c r="AA32" i="8"/>
  <c r="AA33" i="8"/>
  <c r="AA34" i="8"/>
  <c r="AA35" i="8"/>
  <c r="AA36" i="8"/>
  <c r="AA37" i="8"/>
  <c r="AA38" i="8"/>
  <c r="AA39" i="8"/>
  <c r="AA30" i="8"/>
  <c r="L31" i="8"/>
  <c r="L32" i="8"/>
  <c r="L33" i="8"/>
  <c r="L34" i="8"/>
  <c r="L35" i="8"/>
  <c r="L36" i="8"/>
  <c r="L37" i="8"/>
  <c r="L38" i="8"/>
  <c r="L39" i="8"/>
  <c r="L30" i="8"/>
  <c r="Z40" i="8"/>
  <c r="Z32" i="8"/>
  <c r="Z30" i="8"/>
  <c r="K5" i="8"/>
  <c r="K6" i="8"/>
  <c r="K7" i="8"/>
  <c r="K8" i="8"/>
  <c r="K9" i="8"/>
  <c r="K10" i="8"/>
  <c r="K11" i="8"/>
  <c r="K12" i="8"/>
  <c r="K4" i="8"/>
  <c r="T5" i="8"/>
  <c r="T6" i="8"/>
  <c r="T7" i="8"/>
  <c r="T8" i="8"/>
  <c r="T9" i="8"/>
  <c r="T10" i="8"/>
  <c r="T11" i="8"/>
  <c r="T12" i="8"/>
  <c r="T4" i="8"/>
  <c r="S5" i="8"/>
  <c r="S6" i="8"/>
  <c r="S7" i="8"/>
  <c r="S8" i="8"/>
  <c r="S9" i="8"/>
  <c r="S10" i="8"/>
  <c r="S11" i="8"/>
  <c r="S12" i="8"/>
  <c r="S4" i="8"/>
  <c r="V5" i="8"/>
  <c r="W5" i="8"/>
  <c r="X5" i="8"/>
  <c r="V6" i="8"/>
  <c r="W6" i="8"/>
  <c r="X6" i="8"/>
  <c r="V7" i="8"/>
  <c r="W7" i="8"/>
  <c r="X7" i="8"/>
  <c r="V8" i="8"/>
  <c r="W8" i="8"/>
  <c r="X8" i="8"/>
  <c r="V9" i="8"/>
  <c r="W9" i="8"/>
  <c r="X9" i="8"/>
  <c r="Y9" i="8" s="1"/>
  <c r="V10" i="8"/>
  <c r="W10" i="8"/>
  <c r="X10" i="8"/>
  <c r="V11" i="8"/>
  <c r="W11" i="8"/>
  <c r="X11" i="8"/>
  <c r="V12" i="8"/>
  <c r="W12" i="8"/>
  <c r="X12" i="8"/>
  <c r="Y12" i="8"/>
  <c r="X4" i="8"/>
  <c r="W4" i="8"/>
  <c r="V4" i="8"/>
  <c r="R30" i="8"/>
  <c r="R31" i="8"/>
  <c r="R32" i="8"/>
  <c r="R33" i="8"/>
  <c r="R34" i="8"/>
  <c r="R35" i="8"/>
  <c r="R36" i="8"/>
  <c r="R37" i="8"/>
  <c r="R38" i="8"/>
  <c r="F5" i="8"/>
  <c r="U5" i="8" s="1"/>
  <c r="F6" i="8"/>
  <c r="F7" i="8"/>
  <c r="U7" i="8" s="1"/>
  <c r="F8" i="8"/>
  <c r="U8" i="8" s="1"/>
  <c r="F9" i="8"/>
  <c r="U9" i="8" s="1"/>
  <c r="F10" i="8"/>
  <c r="U10" i="8" s="1"/>
  <c r="F11" i="8"/>
  <c r="U11" i="8" s="1"/>
  <c r="F12" i="8"/>
  <c r="U12" i="8" s="1"/>
  <c r="F4" i="8"/>
  <c r="D1" i="8"/>
  <c r="B32" i="8" s="1"/>
  <c r="E32" i="8" s="1"/>
  <c r="T32" i="8" s="1"/>
  <c r="D50" i="8"/>
  <c r="E50" i="8"/>
  <c r="F50" i="8"/>
  <c r="G50" i="8"/>
  <c r="G39" i="8" s="1"/>
  <c r="H50" i="8"/>
  <c r="I50" i="8"/>
  <c r="L50" i="8"/>
  <c r="J30" i="8"/>
  <c r="J31" i="8"/>
  <c r="J32" i="8"/>
  <c r="J33" i="8"/>
  <c r="J34" i="8"/>
  <c r="J35" i="8"/>
  <c r="J36" i="8"/>
  <c r="J37" i="8"/>
  <c r="J38" i="8"/>
  <c r="C39" i="8"/>
  <c r="R39" i="8" s="1"/>
  <c r="H39" i="8"/>
  <c r="I39" i="8"/>
  <c r="F14" i="12" l="1"/>
  <c r="G6" i="10"/>
  <c r="D8" i="10"/>
  <c r="G20" i="10"/>
  <c r="C7" i="10"/>
  <c r="E8" i="10"/>
  <c r="G8" i="10" s="1"/>
  <c r="E7" i="10"/>
  <c r="D7" i="10"/>
  <c r="C33" i="10"/>
  <c r="E31" i="10"/>
  <c r="G31" i="10" s="1"/>
  <c r="C16" i="10"/>
  <c r="D11" i="10"/>
  <c r="D16" i="10" s="1"/>
  <c r="E26" i="10"/>
  <c r="G26" i="10" s="1"/>
  <c r="D20" i="10"/>
  <c r="J39" i="8"/>
  <c r="Y6" i="8"/>
  <c r="B47" i="8"/>
  <c r="B46" i="8"/>
  <c r="B45" i="8"/>
  <c r="B30" i="8"/>
  <c r="D30" i="8" s="1"/>
  <c r="B44" i="8"/>
  <c r="B38" i="8"/>
  <c r="W38" i="8" s="1"/>
  <c r="Y4" i="8"/>
  <c r="Y11" i="8"/>
  <c r="AA11" i="8" s="1"/>
  <c r="B37" i="8"/>
  <c r="E37" i="8" s="1"/>
  <c r="T37" i="8" s="1"/>
  <c r="AA9" i="8"/>
  <c r="B36" i="8"/>
  <c r="D36" i="8" s="1"/>
  <c r="S36" i="8" s="1"/>
  <c r="B35" i="8"/>
  <c r="B34" i="8"/>
  <c r="Y5" i="8"/>
  <c r="AA5" i="8" s="1"/>
  <c r="B31" i="8"/>
  <c r="V31" i="8" s="1"/>
  <c r="AA12" i="8"/>
  <c r="B43" i="8"/>
  <c r="Y8" i="8"/>
  <c r="AA8" i="8" s="1"/>
  <c r="B48" i="8"/>
  <c r="U4" i="8"/>
  <c r="AA4" i="8" s="1"/>
  <c r="Q30" i="8"/>
  <c r="X30" i="8"/>
  <c r="X32" i="8"/>
  <c r="W32" i="8"/>
  <c r="I40" i="8"/>
  <c r="Q32" i="8"/>
  <c r="V32" i="8"/>
  <c r="H40" i="8"/>
  <c r="E36" i="8"/>
  <c r="T36" i="8" s="1"/>
  <c r="D32" i="8"/>
  <c r="Y7" i="8"/>
  <c r="AA7" i="8" s="1"/>
  <c r="G40" i="8"/>
  <c r="U6" i="8"/>
  <c r="AA6" i="8" s="1"/>
  <c r="Y10" i="8"/>
  <c r="AA10" i="8" s="1"/>
  <c r="B49" i="8"/>
  <c r="B33" i="8"/>
  <c r="G7" i="10" l="1"/>
  <c r="G9" i="10"/>
  <c r="D31" i="10"/>
  <c r="D33" i="10" s="1"/>
  <c r="E35" i="10"/>
  <c r="E33" i="10"/>
  <c r="G33" i="10" s="1"/>
  <c r="E11" i="10"/>
  <c r="G11" i="10" s="1"/>
  <c r="Q31" i="8"/>
  <c r="W31" i="8"/>
  <c r="X38" i="8"/>
  <c r="E30" i="8"/>
  <c r="V38" i="8"/>
  <c r="Y38" i="8" s="1"/>
  <c r="W30" i="8"/>
  <c r="V37" i="8"/>
  <c r="D37" i="8"/>
  <c r="S37" i="8" s="1"/>
  <c r="B50" i="8"/>
  <c r="Q38" i="8"/>
  <c r="V36" i="8"/>
  <c r="E38" i="8"/>
  <c r="T38" i="8" s="1"/>
  <c r="Q36" i="8"/>
  <c r="D38" i="8"/>
  <c r="S38" i="8" s="1"/>
  <c r="V34" i="8"/>
  <c r="Q34" i="8"/>
  <c r="E34" i="8"/>
  <c r="T34" i="8" s="1"/>
  <c r="X34" i="8"/>
  <c r="W34" i="8"/>
  <c r="E35" i="8"/>
  <c r="T35" i="8" s="1"/>
  <c r="V35" i="8"/>
  <c r="W35" i="8"/>
  <c r="X35" i="8"/>
  <c r="Q35" i="8"/>
  <c r="X36" i="8"/>
  <c r="D34" i="8"/>
  <c r="Q37" i="8"/>
  <c r="D35" i="8"/>
  <c r="X37" i="8"/>
  <c r="W37" i="8"/>
  <c r="V30" i="8"/>
  <c r="Y30" i="8" s="1"/>
  <c r="E31" i="8"/>
  <c r="T31" i="8" s="1"/>
  <c r="D31" i="8"/>
  <c r="X31" i="8"/>
  <c r="Y31" i="8" s="1"/>
  <c r="W36" i="8"/>
  <c r="X33" i="8"/>
  <c r="V33" i="8"/>
  <c r="E33" i="8"/>
  <c r="T33" i="8" s="1"/>
  <c r="W33" i="8"/>
  <c r="D33" i="8"/>
  <c r="Q33" i="8"/>
  <c r="T30" i="8"/>
  <c r="S30" i="8"/>
  <c r="F30" i="8"/>
  <c r="Y32" i="8"/>
  <c r="J40" i="8"/>
  <c r="F36" i="8"/>
  <c r="F32" i="8"/>
  <c r="S32" i="8"/>
  <c r="E21" i="10" l="1"/>
  <c r="E16" i="10"/>
  <c r="G16" i="10" s="1"/>
  <c r="G21" i="10"/>
  <c r="G35" i="10"/>
  <c r="F37" i="8"/>
  <c r="F35" i="8"/>
  <c r="F34" i="8"/>
  <c r="U34" i="8" s="1"/>
  <c r="S35" i="8"/>
  <c r="Y36" i="8"/>
  <c r="S34" i="8"/>
  <c r="F38" i="8"/>
  <c r="U38" i="8" s="1"/>
  <c r="Y37" i="8"/>
  <c r="S31" i="8"/>
  <c r="F31" i="8"/>
  <c r="Y35" i="8"/>
  <c r="Y34" i="8"/>
  <c r="U35" i="8"/>
  <c r="U30" i="8"/>
  <c r="F33" i="8"/>
  <c r="S33" i="8"/>
  <c r="U32" i="8"/>
  <c r="Y33" i="8"/>
  <c r="U37" i="8"/>
  <c r="U36" i="8"/>
  <c r="U31" i="8" l="1"/>
  <c r="U33" i="8"/>
  <c r="T24" i="8" l="1"/>
  <c r="S24" i="8"/>
  <c r="Q24" i="8"/>
  <c r="Q13" i="8" s="1"/>
  <c r="R13" i="8"/>
  <c r="J5" i="8"/>
  <c r="L5" i="8" s="1"/>
  <c r="J6" i="8"/>
  <c r="L6" i="8" s="1"/>
  <c r="J7" i="8"/>
  <c r="L7" i="8" s="1"/>
  <c r="J8" i="8"/>
  <c r="L8" i="8" s="1"/>
  <c r="J9" i="8"/>
  <c r="L9" i="8" s="1"/>
  <c r="J10" i="8"/>
  <c r="L10" i="8" s="1"/>
  <c r="J11" i="8"/>
  <c r="L11" i="8" s="1"/>
  <c r="J12" i="8"/>
  <c r="L12" i="8" s="1"/>
  <c r="J4" i="8"/>
  <c r="L4" i="8" s="1"/>
  <c r="U24" i="8"/>
  <c r="AA24" i="8"/>
  <c r="X24" i="8"/>
  <c r="W24" i="8"/>
  <c r="V24" i="8"/>
  <c r="C13" i="8"/>
  <c r="D24" i="8"/>
  <c r="D13" i="8" s="1"/>
  <c r="E24" i="8"/>
  <c r="E13" i="8" s="1"/>
  <c r="F24" i="8"/>
  <c r="G24" i="8"/>
  <c r="G13" i="8" s="1"/>
  <c r="H24" i="8"/>
  <c r="H13" i="8" s="1"/>
  <c r="I24" i="8"/>
  <c r="I13" i="8" s="1"/>
  <c r="L24" i="8"/>
  <c r="B24" i="8"/>
  <c r="B13" i="8" s="1"/>
  <c r="Z40" i="6"/>
  <c r="AG36" i="6"/>
  <c r="AF36" i="6"/>
  <c r="AE36" i="6"/>
  <c r="AD36" i="6"/>
  <c r="AC36" i="6"/>
  <c r="AB36" i="6"/>
  <c r="AA36" i="6"/>
  <c r="Z36" i="6"/>
  <c r="AG32" i="6"/>
  <c r="AF32" i="6"/>
  <c r="AE32" i="6"/>
  <c r="AD32" i="6"/>
  <c r="AC32" i="6"/>
  <c r="AB32" i="6"/>
  <c r="AA32" i="6"/>
  <c r="Z32" i="6"/>
  <c r="AG28" i="6"/>
  <c r="AF28" i="6"/>
  <c r="AE28" i="6"/>
  <c r="AD28" i="6"/>
  <c r="AC28" i="6"/>
  <c r="AB28" i="6"/>
  <c r="AA28" i="6"/>
  <c r="Z28" i="6"/>
  <c r="AH24" i="6"/>
  <c r="AG24" i="6"/>
  <c r="AF24" i="6"/>
  <c r="AE24" i="6"/>
  <c r="AD24" i="6"/>
  <c r="AC24" i="6"/>
  <c r="AB24" i="6"/>
  <c r="AA24" i="6"/>
  <c r="Z24" i="6"/>
  <c r="AH20" i="6"/>
  <c r="AG20" i="6"/>
  <c r="AF20" i="6"/>
  <c r="AE20" i="6"/>
  <c r="AD20" i="6"/>
  <c r="AC20" i="6"/>
  <c r="AB20" i="6"/>
  <c r="AA20" i="6"/>
  <c r="Z20" i="6"/>
  <c r="AG16" i="6"/>
  <c r="AF16" i="6"/>
  <c r="AE16" i="6"/>
  <c r="AD16" i="6"/>
  <c r="AC16" i="6"/>
  <c r="AB16" i="6"/>
  <c r="AA16" i="6"/>
  <c r="Z16" i="6"/>
  <c r="AH12" i="6"/>
  <c r="AG12" i="6"/>
  <c r="AF12" i="6"/>
  <c r="AE12" i="6"/>
  <c r="AD12" i="6"/>
  <c r="AC12" i="6"/>
  <c r="AB12" i="6"/>
  <c r="AA12" i="6"/>
  <c r="Z12" i="6"/>
  <c r="AA8" i="6"/>
  <c r="AB8" i="6"/>
  <c r="AC8" i="6"/>
  <c r="AD8" i="6"/>
  <c r="AE8" i="6"/>
  <c r="AF8" i="6"/>
  <c r="AG8" i="6"/>
  <c r="AH8" i="6"/>
  <c r="Z8" i="6"/>
  <c r="AA4" i="6"/>
  <c r="AB4" i="6"/>
  <c r="AC4" i="6"/>
  <c r="AD4" i="6"/>
  <c r="AE4" i="6"/>
  <c r="AF4" i="6"/>
  <c r="AG4" i="6"/>
  <c r="AA6" i="6"/>
  <c r="Z4" i="6"/>
  <c r="AH4" i="6" s="1"/>
  <c r="AH60" i="6"/>
  <c r="AG60" i="6"/>
  <c r="AF60" i="6"/>
  <c r="AE60" i="6"/>
  <c r="AD60" i="6"/>
  <c r="AC60" i="6"/>
  <c r="AB60" i="6"/>
  <c r="AA60" i="6"/>
  <c r="Z60" i="6"/>
  <c r="Q40" i="6"/>
  <c r="T36" i="6"/>
  <c r="S36" i="6"/>
  <c r="R36" i="6"/>
  <c r="Q36" i="6"/>
  <c r="T32" i="6"/>
  <c r="S32" i="6"/>
  <c r="R32" i="6"/>
  <c r="Q32" i="6"/>
  <c r="U32" i="6" s="1"/>
  <c r="T28" i="6"/>
  <c r="S28" i="6"/>
  <c r="R28" i="6"/>
  <c r="Q28" i="6"/>
  <c r="U28" i="6" s="1"/>
  <c r="T24" i="6"/>
  <c r="S24" i="6"/>
  <c r="R24" i="6"/>
  <c r="Q24" i="6"/>
  <c r="U24" i="6" s="1"/>
  <c r="T20" i="6"/>
  <c r="S20" i="6"/>
  <c r="R20" i="6"/>
  <c r="Q20" i="6"/>
  <c r="T16" i="6"/>
  <c r="S16" i="6"/>
  <c r="R16" i="6"/>
  <c r="Q16" i="6"/>
  <c r="U16" i="6" s="1"/>
  <c r="T12" i="6"/>
  <c r="S12" i="6"/>
  <c r="R12" i="6"/>
  <c r="Q12" i="6"/>
  <c r="T8" i="6"/>
  <c r="S8" i="6"/>
  <c r="R8" i="6"/>
  <c r="Q8" i="6"/>
  <c r="T4" i="6"/>
  <c r="S4" i="6"/>
  <c r="R4" i="6"/>
  <c r="Q4" i="6"/>
  <c r="U60" i="6"/>
  <c r="T60" i="6"/>
  <c r="S60" i="6"/>
  <c r="R60" i="6"/>
  <c r="Q60" i="6"/>
  <c r="D45" i="6"/>
  <c r="E45" i="6"/>
  <c r="AB45" i="6" s="1"/>
  <c r="E8" i="11" s="1"/>
  <c r="F45" i="6"/>
  <c r="G45" i="6"/>
  <c r="H45" i="6"/>
  <c r="I45" i="6"/>
  <c r="J45" i="6"/>
  <c r="C45" i="6"/>
  <c r="D37" i="6"/>
  <c r="AA37" i="6" s="1"/>
  <c r="E37" i="6"/>
  <c r="F37" i="6"/>
  <c r="AC37" i="6" s="1"/>
  <c r="G37" i="6"/>
  <c r="AD37" i="6" s="1"/>
  <c r="H37" i="6"/>
  <c r="AE37" i="6" s="1"/>
  <c r="I37" i="6"/>
  <c r="J37" i="6"/>
  <c r="AG37" i="6" s="1"/>
  <c r="D38" i="6"/>
  <c r="AA38" i="6" s="1"/>
  <c r="E38" i="6"/>
  <c r="F38" i="6"/>
  <c r="G38" i="6"/>
  <c r="AD38" i="6" s="1"/>
  <c r="H38" i="6"/>
  <c r="AE38" i="6" s="1"/>
  <c r="I38" i="6"/>
  <c r="AF38" i="6" s="1"/>
  <c r="J38" i="6"/>
  <c r="AG38" i="6" s="1"/>
  <c r="C38" i="6"/>
  <c r="Q38" i="6" s="1"/>
  <c r="C37" i="6"/>
  <c r="Z37" i="6" s="1"/>
  <c r="D33" i="6"/>
  <c r="AA33" i="6" s="1"/>
  <c r="E33" i="6"/>
  <c r="F33" i="6"/>
  <c r="AC33" i="6" s="1"/>
  <c r="G33" i="6"/>
  <c r="AD33" i="6" s="1"/>
  <c r="H33" i="6"/>
  <c r="AE33" i="6" s="1"/>
  <c r="I33" i="6"/>
  <c r="AF33" i="6" s="1"/>
  <c r="J33" i="6"/>
  <c r="AG33" i="6" s="1"/>
  <c r="D34" i="6"/>
  <c r="AA34" i="6" s="1"/>
  <c r="E34" i="6"/>
  <c r="AB34" i="6" s="1"/>
  <c r="F34" i="6"/>
  <c r="AC34" i="6" s="1"/>
  <c r="G34" i="6"/>
  <c r="AD34" i="6" s="1"/>
  <c r="H34" i="6"/>
  <c r="AE34" i="6" s="1"/>
  <c r="I34" i="6"/>
  <c r="J34" i="6"/>
  <c r="AG34" i="6" s="1"/>
  <c r="C34" i="6"/>
  <c r="Z34" i="6" s="1"/>
  <c r="C33" i="6"/>
  <c r="Z33" i="6" s="1"/>
  <c r="D29" i="6"/>
  <c r="AA29" i="6" s="1"/>
  <c r="E29" i="6"/>
  <c r="AB29" i="6" s="1"/>
  <c r="F29" i="6"/>
  <c r="AC29" i="6" s="1"/>
  <c r="G29" i="6"/>
  <c r="AD29" i="6" s="1"/>
  <c r="H29" i="6"/>
  <c r="AE29" i="6" s="1"/>
  <c r="I29" i="6"/>
  <c r="AF29" i="6" s="1"/>
  <c r="J29" i="6"/>
  <c r="AG29" i="6" s="1"/>
  <c r="D30" i="6"/>
  <c r="AA30" i="6" s="1"/>
  <c r="E30" i="6"/>
  <c r="AB30" i="6" s="1"/>
  <c r="F30" i="6"/>
  <c r="AC30" i="6" s="1"/>
  <c r="G30" i="6"/>
  <c r="AD30" i="6" s="1"/>
  <c r="H30" i="6"/>
  <c r="AE30" i="6" s="1"/>
  <c r="I30" i="6"/>
  <c r="AF30" i="6" s="1"/>
  <c r="J30" i="6"/>
  <c r="AG30" i="6" s="1"/>
  <c r="C30" i="6"/>
  <c r="Z30" i="6" s="1"/>
  <c r="C29" i="6"/>
  <c r="Q29" i="6" s="1"/>
  <c r="D25" i="6"/>
  <c r="AA25" i="6" s="1"/>
  <c r="E25" i="6"/>
  <c r="AB25" i="6" s="1"/>
  <c r="F25" i="6"/>
  <c r="AC25" i="6" s="1"/>
  <c r="G25" i="6"/>
  <c r="AD25" i="6" s="1"/>
  <c r="H25" i="6"/>
  <c r="AE25" i="6" s="1"/>
  <c r="I25" i="6"/>
  <c r="J25" i="6"/>
  <c r="AG25" i="6" s="1"/>
  <c r="D26" i="6"/>
  <c r="AA26" i="6" s="1"/>
  <c r="E26" i="6"/>
  <c r="AB26" i="6" s="1"/>
  <c r="F26" i="6"/>
  <c r="AC26" i="6" s="1"/>
  <c r="G26" i="6"/>
  <c r="AD26" i="6" s="1"/>
  <c r="H26" i="6"/>
  <c r="AE26" i="6" s="1"/>
  <c r="I26" i="6"/>
  <c r="J26" i="6"/>
  <c r="AG26" i="6" s="1"/>
  <c r="C26" i="6"/>
  <c r="Z26" i="6" s="1"/>
  <c r="C25" i="6"/>
  <c r="Q25" i="6" s="1"/>
  <c r="D21" i="6"/>
  <c r="E21" i="6"/>
  <c r="AB21" i="6" s="1"/>
  <c r="F21" i="6"/>
  <c r="AC21" i="6" s="1"/>
  <c r="G21" i="6"/>
  <c r="AD21" i="6" s="1"/>
  <c r="H21" i="6"/>
  <c r="AE21" i="6" s="1"/>
  <c r="I21" i="6"/>
  <c r="AF21" i="6" s="1"/>
  <c r="J21" i="6"/>
  <c r="AG21" i="6" s="1"/>
  <c r="D22" i="6"/>
  <c r="AA22" i="6" s="1"/>
  <c r="E22" i="6"/>
  <c r="AB22" i="6" s="1"/>
  <c r="F22" i="6"/>
  <c r="AC22" i="6" s="1"/>
  <c r="G22" i="6"/>
  <c r="AD22" i="6" s="1"/>
  <c r="H22" i="6"/>
  <c r="AE22" i="6" s="1"/>
  <c r="I22" i="6"/>
  <c r="AF22" i="6" s="1"/>
  <c r="J22" i="6"/>
  <c r="AG22" i="6" s="1"/>
  <c r="C22" i="6"/>
  <c r="Z22" i="6" s="1"/>
  <c r="C21" i="6"/>
  <c r="Q21" i="6" s="1"/>
  <c r="D17" i="6"/>
  <c r="AA17" i="6" s="1"/>
  <c r="E17" i="6"/>
  <c r="AB17" i="6" s="1"/>
  <c r="F17" i="6"/>
  <c r="AC17" i="6" s="1"/>
  <c r="G17" i="6"/>
  <c r="AD17" i="6" s="1"/>
  <c r="H17" i="6"/>
  <c r="AE17" i="6" s="1"/>
  <c r="I17" i="6"/>
  <c r="AF17" i="6" s="1"/>
  <c r="J17" i="6"/>
  <c r="AG17" i="6" s="1"/>
  <c r="D18" i="6"/>
  <c r="AA18" i="6" s="1"/>
  <c r="E18" i="6"/>
  <c r="AB18" i="6" s="1"/>
  <c r="F18" i="6"/>
  <c r="AC18" i="6" s="1"/>
  <c r="G18" i="6"/>
  <c r="AD18" i="6" s="1"/>
  <c r="H18" i="6"/>
  <c r="AE18" i="6" s="1"/>
  <c r="I18" i="6"/>
  <c r="AF18" i="6" s="1"/>
  <c r="J18" i="6"/>
  <c r="AG18" i="6" s="1"/>
  <c r="C18" i="6"/>
  <c r="Z18" i="6" s="1"/>
  <c r="C17" i="6"/>
  <c r="Q17" i="6" s="1"/>
  <c r="D13" i="6"/>
  <c r="AA13" i="6" s="1"/>
  <c r="E13" i="6"/>
  <c r="AB13" i="6" s="1"/>
  <c r="F13" i="6"/>
  <c r="AC13" i="6" s="1"/>
  <c r="G13" i="6"/>
  <c r="AD13" i="6" s="1"/>
  <c r="H13" i="6"/>
  <c r="AE13" i="6" s="1"/>
  <c r="I13" i="6"/>
  <c r="AF13" i="6" s="1"/>
  <c r="J13" i="6"/>
  <c r="AG13" i="6" s="1"/>
  <c r="D14" i="6"/>
  <c r="AA14" i="6" s="1"/>
  <c r="E14" i="6"/>
  <c r="AB14" i="6" s="1"/>
  <c r="F14" i="6"/>
  <c r="AC14" i="6" s="1"/>
  <c r="G14" i="6"/>
  <c r="AD14" i="6" s="1"/>
  <c r="H14" i="6"/>
  <c r="AE14" i="6" s="1"/>
  <c r="I14" i="6"/>
  <c r="AF14" i="6" s="1"/>
  <c r="J14" i="6"/>
  <c r="AG14" i="6" s="1"/>
  <c r="C14" i="6"/>
  <c r="Q14" i="6" s="1"/>
  <c r="C13" i="6"/>
  <c r="Q13" i="6" s="1"/>
  <c r="K36" i="6"/>
  <c r="AH36" i="6" s="1"/>
  <c r="K32" i="6"/>
  <c r="AH32" i="6" s="1"/>
  <c r="K28" i="6"/>
  <c r="AH28" i="6" s="1"/>
  <c r="K24" i="6"/>
  <c r="K20" i="6"/>
  <c r="K16" i="6"/>
  <c r="AH16" i="6" s="1"/>
  <c r="K12" i="6"/>
  <c r="K8" i="6"/>
  <c r="D9" i="6"/>
  <c r="AA9" i="6" s="1"/>
  <c r="E9" i="6"/>
  <c r="AB9" i="6" s="1"/>
  <c r="F9" i="6"/>
  <c r="AC9" i="6" s="1"/>
  <c r="G9" i="6"/>
  <c r="AD9" i="6" s="1"/>
  <c r="H9" i="6"/>
  <c r="AE9" i="6" s="1"/>
  <c r="I9" i="6"/>
  <c r="J9" i="6"/>
  <c r="AG9" i="6" s="1"/>
  <c r="D10" i="6"/>
  <c r="E10" i="6"/>
  <c r="F10" i="6"/>
  <c r="AC10" i="6" s="1"/>
  <c r="G10" i="6"/>
  <c r="AD10" i="6" s="1"/>
  <c r="H10" i="6"/>
  <c r="AE10" i="6" s="1"/>
  <c r="I10" i="6"/>
  <c r="AF10" i="6" s="1"/>
  <c r="J10" i="6"/>
  <c r="AG10" i="6" s="1"/>
  <c r="C10" i="6"/>
  <c r="Q10" i="6" s="1"/>
  <c r="C9" i="6"/>
  <c r="Z9" i="6" s="1"/>
  <c r="D6" i="6"/>
  <c r="E6" i="6"/>
  <c r="AB6" i="6" s="1"/>
  <c r="F6" i="6"/>
  <c r="AC6" i="6" s="1"/>
  <c r="G6" i="6"/>
  <c r="AD6" i="6" s="1"/>
  <c r="H6" i="6"/>
  <c r="AE6" i="6" s="1"/>
  <c r="I6" i="6"/>
  <c r="AF6" i="6" s="1"/>
  <c r="J6" i="6"/>
  <c r="AG6" i="6" s="1"/>
  <c r="C6" i="6"/>
  <c r="Z6" i="6" s="1"/>
  <c r="K4" i="6"/>
  <c r="D5" i="6"/>
  <c r="E5" i="6"/>
  <c r="F5" i="6"/>
  <c r="AC5" i="6" s="1"/>
  <c r="G5" i="6"/>
  <c r="AD5" i="6" s="1"/>
  <c r="H5" i="6"/>
  <c r="AE5" i="6" s="1"/>
  <c r="I5" i="6"/>
  <c r="AF5" i="6" s="1"/>
  <c r="J5" i="6"/>
  <c r="AG5" i="6" s="1"/>
  <c r="C5" i="6"/>
  <c r="Z5" i="6" s="1"/>
  <c r="K60" i="6"/>
  <c r="J60" i="6"/>
  <c r="J40" i="6" s="1"/>
  <c r="AG40" i="6" s="1"/>
  <c r="I60" i="6"/>
  <c r="I40" i="6" s="1"/>
  <c r="T40" i="6" s="1"/>
  <c r="H60" i="6"/>
  <c r="H40" i="6" s="1"/>
  <c r="G60" i="6"/>
  <c r="G40" i="6" s="1"/>
  <c r="F60" i="6"/>
  <c r="F40" i="6" s="1"/>
  <c r="F44" i="6" s="1"/>
  <c r="E60" i="6"/>
  <c r="E40" i="6" s="1"/>
  <c r="E44" i="6" s="1"/>
  <c r="AB44" i="6" s="1"/>
  <c r="D60" i="6"/>
  <c r="D40" i="6" s="1"/>
  <c r="C60" i="6"/>
  <c r="C40" i="6" s="1"/>
  <c r="J30" i="3"/>
  <c r="D30" i="3"/>
  <c r="E30" i="3"/>
  <c r="F30" i="3"/>
  <c r="G30" i="3"/>
  <c r="H30" i="3"/>
  <c r="I30" i="3"/>
  <c r="C30" i="3"/>
  <c r="D24" i="3"/>
  <c r="E24" i="3"/>
  <c r="F24" i="3"/>
  <c r="G24" i="3"/>
  <c r="H24" i="3"/>
  <c r="I24" i="3"/>
  <c r="J24" i="3"/>
  <c r="C24" i="3"/>
  <c r="D21" i="3"/>
  <c r="E21" i="3"/>
  <c r="F21" i="3"/>
  <c r="G21" i="3"/>
  <c r="H21" i="3"/>
  <c r="I21" i="3"/>
  <c r="J21" i="3"/>
  <c r="C21" i="3"/>
  <c r="D18" i="3"/>
  <c r="E18" i="3"/>
  <c r="F18" i="3"/>
  <c r="G18" i="3"/>
  <c r="H18" i="3"/>
  <c r="I18" i="3"/>
  <c r="J18" i="3"/>
  <c r="C18" i="3"/>
  <c r="D15" i="3"/>
  <c r="E15" i="3"/>
  <c r="F15" i="3"/>
  <c r="G15" i="3"/>
  <c r="H15" i="3"/>
  <c r="I15" i="3"/>
  <c r="J15" i="3"/>
  <c r="C15" i="3"/>
  <c r="D12" i="3"/>
  <c r="E12" i="3"/>
  <c r="F12" i="3"/>
  <c r="G12" i="3"/>
  <c r="H12" i="3"/>
  <c r="I12" i="3"/>
  <c r="J12" i="3"/>
  <c r="C12" i="3"/>
  <c r="D9" i="3"/>
  <c r="E9" i="3"/>
  <c r="F9" i="3"/>
  <c r="G9" i="3"/>
  <c r="H9" i="3"/>
  <c r="I9" i="3"/>
  <c r="J9" i="3"/>
  <c r="C9" i="3"/>
  <c r="D6" i="3"/>
  <c r="E6" i="3"/>
  <c r="F6" i="3"/>
  <c r="G6" i="3"/>
  <c r="H6" i="3"/>
  <c r="I6" i="3"/>
  <c r="J6" i="3"/>
  <c r="C6" i="3"/>
  <c r="K20" i="1"/>
  <c r="K18" i="1"/>
  <c r="K16" i="1"/>
  <c r="K14" i="1"/>
  <c r="K12" i="1"/>
  <c r="K10" i="1"/>
  <c r="K8" i="1"/>
  <c r="K6" i="1"/>
  <c r="K4" i="1"/>
  <c r="K4" i="3"/>
  <c r="K7" i="3"/>
  <c r="K10" i="3"/>
  <c r="K13" i="3"/>
  <c r="K16" i="3"/>
  <c r="K19" i="3"/>
  <c r="K22" i="3"/>
  <c r="K25" i="3"/>
  <c r="K28" i="3"/>
  <c r="C28" i="4"/>
  <c r="C39" i="6" s="1"/>
  <c r="Q39" i="6" s="1"/>
  <c r="D28" i="4"/>
  <c r="D39" i="6" s="1"/>
  <c r="E28" i="4"/>
  <c r="E39" i="6" s="1"/>
  <c r="F28" i="4"/>
  <c r="F39" i="6" s="1"/>
  <c r="AC39" i="6" s="1"/>
  <c r="G28" i="4"/>
  <c r="G39" i="6" s="1"/>
  <c r="AD39" i="6" s="1"/>
  <c r="H28" i="4"/>
  <c r="H39" i="6" s="1"/>
  <c r="AE39" i="6" s="1"/>
  <c r="I28" i="4"/>
  <c r="I39" i="6" s="1"/>
  <c r="AF39" i="6" s="1"/>
  <c r="J28" i="4"/>
  <c r="J39" i="6" s="1"/>
  <c r="C19" i="4"/>
  <c r="C27" i="6" s="1"/>
  <c r="Z27" i="6" s="1"/>
  <c r="D19" i="4"/>
  <c r="D27" i="6" s="1"/>
  <c r="E19" i="4"/>
  <c r="E27" i="6" s="1"/>
  <c r="F19" i="4"/>
  <c r="F27" i="6" s="1"/>
  <c r="AC27" i="6" s="1"/>
  <c r="G19" i="4"/>
  <c r="G27" i="6" s="1"/>
  <c r="AD27" i="6" s="1"/>
  <c r="H19" i="4"/>
  <c r="H27" i="6" s="1"/>
  <c r="AE27" i="6" s="1"/>
  <c r="I19" i="4"/>
  <c r="I27" i="6" s="1"/>
  <c r="AF27" i="6" s="1"/>
  <c r="J19" i="4"/>
  <c r="J27" i="6" s="1"/>
  <c r="E73" i="3" l="1"/>
  <c r="E73" i="4" s="1"/>
  <c r="E74" i="4" s="1"/>
  <c r="D73" i="3"/>
  <c r="D73" i="4" s="1"/>
  <c r="D74" i="4" s="1"/>
  <c r="C73" i="3"/>
  <c r="C73" i="4" s="1"/>
  <c r="J73" i="3"/>
  <c r="J73" i="4" s="1"/>
  <c r="J74" i="4" s="1"/>
  <c r="I73" i="3"/>
  <c r="I73" i="4" s="1"/>
  <c r="I74" i="4" s="1"/>
  <c r="H73" i="3"/>
  <c r="H73" i="4" s="1"/>
  <c r="H74" i="4" s="1"/>
  <c r="G73" i="3"/>
  <c r="G73" i="4" s="1"/>
  <c r="G74" i="4" s="1"/>
  <c r="F73" i="3"/>
  <c r="F73" i="4" s="1"/>
  <c r="F74" i="4" s="1"/>
  <c r="K73" i="3"/>
  <c r="K30" i="3"/>
  <c r="C97" i="3"/>
  <c r="J97" i="3"/>
  <c r="I97" i="3"/>
  <c r="F97" i="3"/>
  <c r="H97" i="3"/>
  <c r="G97" i="3"/>
  <c r="E97" i="3"/>
  <c r="D97" i="3"/>
  <c r="K97" i="3"/>
  <c r="E94" i="3"/>
  <c r="D94" i="3"/>
  <c r="K94" i="3"/>
  <c r="C94" i="3"/>
  <c r="J94" i="3"/>
  <c r="H94" i="3"/>
  <c r="I94" i="3"/>
  <c r="G94" i="3"/>
  <c r="F94" i="3"/>
  <c r="Q9" i="6"/>
  <c r="Q33" i="6"/>
  <c r="K24" i="3"/>
  <c r="D91" i="3"/>
  <c r="G91" i="3"/>
  <c r="C91" i="3"/>
  <c r="J91" i="3"/>
  <c r="I91" i="3"/>
  <c r="H91" i="3"/>
  <c r="F91" i="3"/>
  <c r="E91" i="3"/>
  <c r="K91" i="3"/>
  <c r="S45" i="6"/>
  <c r="K21" i="3"/>
  <c r="F88" i="3"/>
  <c r="F88" i="4" s="1"/>
  <c r="I88" i="3"/>
  <c r="I88" i="4" s="1"/>
  <c r="H88" i="3"/>
  <c r="H88" i="4" s="1"/>
  <c r="G88" i="3"/>
  <c r="G88" i="4" s="1"/>
  <c r="E88" i="3"/>
  <c r="E88" i="4" s="1"/>
  <c r="D88" i="3"/>
  <c r="D88" i="4" s="1"/>
  <c r="C88" i="3"/>
  <c r="C88" i="4" s="1"/>
  <c r="J88" i="3"/>
  <c r="J88" i="4" s="1"/>
  <c r="K88" i="3"/>
  <c r="K18" i="3"/>
  <c r="I85" i="3"/>
  <c r="I85" i="4" s="1"/>
  <c r="H85" i="3"/>
  <c r="H85" i="4" s="1"/>
  <c r="G85" i="3"/>
  <c r="G85" i="4" s="1"/>
  <c r="D85" i="3"/>
  <c r="D85" i="4" s="1"/>
  <c r="F85" i="3"/>
  <c r="F85" i="4" s="1"/>
  <c r="E85" i="3"/>
  <c r="E85" i="4" s="1"/>
  <c r="C85" i="3"/>
  <c r="C85" i="4" s="1"/>
  <c r="J85" i="3"/>
  <c r="J85" i="4" s="1"/>
  <c r="K85" i="3"/>
  <c r="K15" i="3"/>
  <c r="C82" i="3"/>
  <c r="C82" i="4" s="1"/>
  <c r="F82" i="3"/>
  <c r="F82" i="4" s="1"/>
  <c r="D82" i="3"/>
  <c r="D82" i="4" s="1"/>
  <c r="J82" i="3"/>
  <c r="J82" i="4" s="1"/>
  <c r="I82" i="3"/>
  <c r="I82" i="4" s="1"/>
  <c r="H82" i="3"/>
  <c r="H82" i="4" s="1"/>
  <c r="G82" i="3"/>
  <c r="G82" i="4" s="1"/>
  <c r="E82" i="3"/>
  <c r="E82" i="4" s="1"/>
  <c r="K82" i="3"/>
  <c r="T25" i="6"/>
  <c r="K9" i="3"/>
  <c r="H76" i="3"/>
  <c r="H76" i="4" s="1"/>
  <c r="J76" i="3"/>
  <c r="J76" i="4" s="1"/>
  <c r="I76" i="3"/>
  <c r="I76" i="4" s="1"/>
  <c r="G76" i="3"/>
  <c r="G76" i="4" s="1"/>
  <c r="F76" i="3"/>
  <c r="F76" i="4" s="1"/>
  <c r="E76" i="3"/>
  <c r="E76" i="4" s="1"/>
  <c r="D76" i="3"/>
  <c r="D76" i="4" s="1"/>
  <c r="C76" i="3"/>
  <c r="C76" i="4" s="1"/>
  <c r="K76" i="3"/>
  <c r="T5" i="6"/>
  <c r="K12" i="3"/>
  <c r="F79" i="3"/>
  <c r="F79" i="4" s="1"/>
  <c r="H79" i="3"/>
  <c r="H79" i="4" s="1"/>
  <c r="G79" i="3"/>
  <c r="G79" i="4" s="1"/>
  <c r="E79" i="3"/>
  <c r="E79" i="4" s="1"/>
  <c r="D79" i="3"/>
  <c r="D79" i="4" s="1"/>
  <c r="C79" i="3"/>
  <c r="C79" i="4" s="1"/>
  <c r="J79" i="3"/>
  <c r="J79" i="4" s="1"/>
  <c r="I79" i="3"/>
  <c r="I79" i="4" s="1"/>
  <c r="K79" i="3"/>
  <c r="T33" i="6"/>
  <c r="T37" i="6"/>
  <c r="Q37" i="6"/>
  <c r="H63" i="1"/>
  <c r="G63" i="1"/>
  <c r="C63" i="1"/>
  <c r="J63" i="1"/>
  <c r="F63" i="1"/>
  <c r="I63" i="1"/>
  <c r="E63" i="1"/>
  <c r="D63" i="1"/>
  <c r="K63" i="1"/>
  <c r="D79" i="1"/>
  <c r="F79" i="1"/>
  <c r="C79" i="1"/>
  <c r="J79" i="1"/>
  <c r="G79" i="1"/>
  <c r="I79" i="1"/>
  <c r="H79" i="1"/>
  <c r="E79" i="1"/>
  <c r="K79" i="1"/>
  <c r="F65" i="1"/>
  <c r="E65" i="1"/>
  <c r="I65" i="1"/>
  <c r="D65" i="1"/>
  <c r="C65" i="1"/>
  <c r="H65" i="1"/>
  <c r="J65" i="1"/>
  <c r="G65" i="1"/>
  <c r="K65" i="1"/>
  <c r="D67" i="1"/>
  <c r="F67" i="1"/>
  <c r="C67" i="1"/>
  <c r="J67" i="1"/>
  <c r="G67" i="1"/>
  <c r="I67" i="1"/>
  <c r="H67" i="1"/>
  <c r="E67" i="1"/>
  <c r="K67" i="1"/>
  <c r="J69" i="1"/>
  <c r="I69" i="1"/>
  <c r="E69" i="1"/>
  <c r="C69" i="1"/>
  <c r="H69" i="1"/>
  <c r="K69" i="1"/>
  <c r="G69" i="1"/>
  <c r="D69" i="1"/>
  <c r="F69" i="1"/>
  <c r="H71" i="1"/>
  <c r="G71" i="1"/>
  <c r="J71" i="1"/>
  <c r="F71" i="1"/>
  <c r="C71" i="1"/>
  <c r="E71" i="1"/>
  <c r="D71" i="1"/>
  <c r="I71" i="1"/>
  <c r="K71" i="1"/>
  <c r="E77" i="1"/>
  <c r="H77" i="1"/>
  <c r="D77" i="1"/>
  <c r="F77" i="1"/>
  <c r="C77" i="1"/>
  <c r="J77" i="1"/>
  <c r="G77" i="1"/>
  <c r="I77" i="1"/>
  <c r="K77" i="1"/>
  <c r="G73" i="1"/>
  <c r="F73" i="1"/>
  <c r="I73" i="1"/>
  <c r="E73" i="1"/>
  <c r="D73" i="1"/>
  <c r="J73" i="1"/>
  <c r="C73" i="1"/>
  <c r="H73" i="1"/>
  <c r="K73" i="1"/>
  <c r="F75" i="1"/>
  <c r="G75" i="1"/>
  <c r="E75" i="1"/>
  <c r="I75" i="1"/>
  <c r="D75" i="1"/>
  <c r="C75" i="1"/>
  <c r="J75" i="1"/>
  <c r="H75" i="1"/>
  <c r="K75" i="1"/>
  <c r="Q30" i="6"/>
  <c r="Q6" i="6"/>
  <c r="R10" i="6"/>
  <c r="Q26" i="6"/>
  <c r="Q45" i="6"/>
  <c r="C32" i="10"/>
  <c r="AF37" i="6"/>
  <c r="T21" i="6"/>
  <c r="R37" i="6"/>
  <c r="T17" i="6"/>
  <c r="R33" i="6"/>
  <c r="Z13" i="6"/>
  <c r="R17" i="6"/>
  <c r="R21" i="6"/>
  <c r="R13" i="6"/>
  <c r="T29" i="6"/>
  <c r="AF25" i="6"/>
  <c r="I155" i="12"/>
  <c r="I184" i="12"/>
  <c r="I124" i="12"/>
  <c r="I64" i="12"/>
  <c r="I7" i="12"/>
  <c r="I94" i="12"/>
  <c r="I34" i="12"/>
  <c r="Q5" i="6"/>
  <c r="T13" i="6"/>
  <c r="R25" i="6"/>
  <c r="Z21" i="6"/>
  <c r="R45" i="6"/>
  <c r="C21" i="10"/>
  <c r="T39" i="6"/>
  <c r="R38" i="6"/>
  <c r="S38" i="6"/>
  <c r="AC38" i="6"/>
  <c r="AB38" i="6"/>
  <c r="R34" i="6"/>
  <c r="S30" i="6"/>
  <c r="T27" i="6"/>
  <c r="S26" i="6"/>
  <c r="R26" i="6"/>
  <c r="S22" i="6"/>
  <c r="R22" i="6"/>
  <c r="S10" i="6"/>
  <c r="AB10" i="6"/>
  <c r="AA10" i="6"/>
  <c r="R6" i="6"/>
  <c r="K6" i="3"/>
  <c r="Z38" i="6"/>
  <c r="Q22" i="6"/>
  <c r="Q18" i="6"/>
  <c r="Z10" i="6"/>
  <c r="E14" i="8"/>
  <c r="T13" i="8"/>
  <c r="E39" i="8"/>
  <c r="I14" i="8"/>
  <c r="X13" i="8"/>
  <c r="H14" i="8"/>
  <c r="W13" i="8"/>
  <c r="D14" i="8"/>
  <c r="D39" i="8"/>
  <c r="S13" i="8"/>
  <c r="F13" i="8"/>
  <c r="B14" i="8"/>
  <c r="B39" i="8"/>
  <c r="Q14" i="8"/>
  <c r="K14" i="8" s="1"/>
  <c r="K13" i="8"/>
  <c r="G14" i="8"/>
  <c r="V13" i="8"/>
  <c r="J14" i="8"/>
  <c r="J13" i="8"/>
  <c r="G44" i="6"/>
  <c r="S40" i="6"/>
  <c r="AD40" i="6"/>
  <c r="AA5" i="6"/>
  <c r="R5" i="6"/>
  <c r="T9" i="6"/>
  <c r="AF9" i="6"/>
  <c r="AF45" i="6"/>
  <c r="E12" i="11" s="1"/>
  <c r="T26" i="6"/>
  <c r="S25" i="6"/>
  <c r="S21" i="6"/>
  <c r="AC40" i="6"/>
  <c r="T45" i="6"/>
  <c r="AB33" i="6"/>
  <c r="S33" i="6"/>
  <c r="AB37" i="6"/>
  <c r="S37" i="6"/>
  <c r="S29" i="6"/>
  <c r="T34" i="6"/>
  <c r="S17" i="6"/>
  <c r="U25" i="6"/>
  <c r="S13" i="6"/>
  <c r="AC44" i="6"/>
  <c r="S5" i="6"/>
  <c r="AB5" i="6"/>
  <c r="AG45" i="6"/>
  <c r="E13" i="11" s="1"/>
  <c r="R29" i="6"/>
  <c r="U29" i="6" s="1"/>
  <c r="R9" i="6"/>
  <c r="R14" i="6"/>
  <c r="AA21" i="6"/>
  <c r="AF26" i="6"/>
  <c r="AC45" i="6"/>
  <c r="E9" i="11" s="1"/>
  <c r="S9" i="6"/>
  <c r="R18" i="6"/>
  <c r="Q34" i="6"/>
  <c r="AF34" i="6"/>
  <c r="S18" i="6"/>
  <c r="T22" i="6"/>
  <c r="S34" i="6"/>
  <c r="Z14" i="6"/>
  <c r="AG27" i="6"/>
  <c r="T6" i="6"/>
  <c r="D44" i="6"/>
  <c r="R40" i="6"/>
  <c r="U8" i="6"/>
  <c r="AA40" i="6"/>
  <c r="AE40" i="6"/>
  <c r="AF40" i="6"/>
  <c r="AD45" i="6"/>
  <c r="E10" i="11" s="1"/>
  <c r="Z25" i="6"/>
  <c r="S14" i="6"/>
  <c r="R30" i="6"/>
  <c r="T14" i="6"/>
  <c r="Z29" i="6"/>
  <c r="T10" i="6"/>
  <c r="U10" i="6" s="1"/>
  <c r="T18" i="6"/>
  <c r="T30" i="6"/>
  <c r="T38" i="6"/>
  <c r="AG39" i="6"/>
  <c r="U12" i="6"/>
  <c r="Z17" i="6"/>
  <c r="AB40" i="6"/>
  <c r="U20" i="6"/>
  <c r="U36" i="6"/>
  <c r="S6" i="6"/>
  <c r="R27" i="6"/>
  <c r="R39" i="6"/>
  <c r="Q27" i="6"/>
  <c r="Z39" i="6"/>
  <c r="AA27" i="6"/>
  <c r="AA39" i="6"/>
  <c r="S27" i="6"/>
  <c r="S39" i="6"/>
  <c r="AB27" i="6"/>
  <c r="AB39" i="6"/>
  <c r="U4" i="6"/>
  <c r="K18" i="6"/>
  <c r="AH18" i="6" s="1"/>
  <c r="K38" i="6"/>
  <c r="AH38" i="6" s="1"/>
  <c r="K40" i="6"/>
  <c r="AH40" i="6" s="1"/>
  <c r="K22" i="6"/>
  <c r="AH22" i="6" s="1"/>
  <c r="K27" i="6"/>
  <c r="AH27" i="6" s="1"/>
  <c r="K30" i="6"/>
  <c r="AH30" i="6" s="1"/>
  <c r="K39" i="6"/>
  <c r="AH39" i="6" s="1"/>
  <c r="K34" i="6"/>
  <c r="AH34" i="6" s="1"/>
  <c r="K26" i="6"/>
  <c r="AH26" i="6" s="1"/>
  <c r="K14" i="6"/>
  <c r="AH14" i="6" s="1"/>
  <c r="K10" i="6"/>
  <c r="AH10" i="6" s="1"/>
  <c r="K9" i="6"/>
  <c r="AH9" i="6" s="1"/>
  <c r="K6" i="6"/>
  <c r="AH6" i="6" s="1"/>
  <c r="K5" i="6"/>
  <c r="AH5" i="6" s="1"/>
  <c r="C44" i="6"/>
  <c r="H44" i="6"/>
  <c r="I44" i="6"/>
  <c r="J44" i="6"/>
  <c r="AG44" i="6" s="1"/>
  <c r="K37" i="6"/>
  <c r="AH37" i="6" s="1"/>
  <c r="K28" i="4"/>
  <c r="I30" i="4" s="1"/>
  <c r="K19" i="4"/>
  <c r="F21" i="4" s="1"/>
  <c r="C74" i="4" l="1"/>
  <c r="K73" i="4"/>
  <c r="K74" i="4" s="1"/>
  <c r="U45" i="6"/>
  <c r="U13" i="6"/>
  <c r="E77" i="4"/>
  <c r="E78" i="4"/>
  <c r="G87" i="4"/>
  <c r="G86" i="4"/>
  <c r="E83" i="4"/>
  <c r="G89" i="4"/>
  <c r="F80" i="4"/>
  <c r="G77" i="4"/>
  <c r="G78" i="4"/>
  <c r="H89" i="4"/>
  <c r="U5" i="6"/>
  <c r="U33" i="6"/>
  <c r="I80" i="4"/>
  <c r="I77" i="4"/>
  <c r="I78" i="4"/>
  <c r="H83" i="4"/>
  <c r="J87" i="4"/>
  <c r="J86" i="4"/>
  <c r="I89" i="4"/>
  <c r="K82" i="4"/>
  <c r="C83" i="4"/>
  <c r="F78" i="4"/>
  <c r="F77" i="4"/>
  <c r="H87" i="4"/>
  <c r="H86" i="4"/>
  <c r="G83" i="4"/>
  <c r="I87" i="4"/>
  <c r="I86" i="4"/>
  <c r="U9" i="6"/>
  <c r="J80" i="4"/>
  <c r="J78" i="4"/>
  <c r="J77" i="4"/>
  <c r="I83" i="4"/>
  <c r="C86" i="4"/>
  <c r="C87" i="4"/>
  <c r="K85" i="4"/>
  <c r="F89" i="4"/>
  <c r="E89" i="4"/>
  <c r="H80" i="4"/>
  <c r="C80" i="4"/>
  <c r="K79" i="4"/>
  <c r="J83" i="4"/>
  <c r="J89" i="4"/>
  <c r="D80" i="4"/>
  <c r="K76" i="4"/>
  <c r="C77" i="4"/>
  <c r="C78" i="4"/>
  <c r="D83" i="4"/>
  <c r="F87" i="4"/>
  <c r="F86" i="4"/>
  <c r="K88" i="4"/>
  <c r="C89" i="4"/>
  <c r="G80" i="4"/>
  <c r="U21" i="6"/>
  <c r="H77" i="4"/>
  <c r="H78" i="4"/>
  <c r="E87" i="4"/>
  <c r="E86" i="4"/>
  <c r="E80" i="4"/>
  <c r="D78" i="4"/>
  <c r="D77" i="4"/>
  <c r="F83" i="4"/>
  <c r="D86" i="4"/>
  <c r="D87" i="4"/>
  <c r="D89" i="4"/>
  <c r="I160" i="12"/>
  <c r="I189" i="12"/>
  <c r="I129" i="12"/>
  <c r="I12" i="12"/>
  <c r="I99" i="12"/>
  <c r="I69" i="12"/>
  <c r="I39" i="12"/>
  <c r="I156" i="12"/>
  <c r="I125" i="12"/>
  <c r="I185" i="12"/>
  <c r="I35" i="12"/>
  <c r="I95" i="12"/>
  <c r="I65" i="12"/>
  <c r="I8" i="12"/>
  <c r="U17" i="6"/>
  <c r="C22" i="10"/>
  <c r="D21" i="10"/>
  <c r="D22" i="10" s="1"/>
  <c r="I157" i="12"/>
  <c r="I186" i="12"/>
  <c r="I126" i="12"/>
  <c r="I36" i="12"/>
  <c r="I9" i="12"/>
  <c r="I96" i="12"/>
  <c r="I66" i="12"/>
  <c r="U37" i="6"/>
  <c r="I188" i="12"/>
  <c r="I128" i="12"/>
  <c r="I159" i="12"/>
  <c r="I38" i="12"/>
  <c r="I11" i="12"/>
  <c r="I98" i="12"/>
  <c r="I68" i="12"/>
  <c r="U38" i="6"/>
  <c r="U30" i="6"/>
  <c r="U27" i="6"/>
  <c r="U26" i="6"/>
  <c r="U18" i="6"/>
  <c r="U14" i="6"/>
  <c r="U6" i="6"/>
  <c r="U22" i="6"/>
  <c r="S14" i="8"/>
  <c r="W14" i="8"/>
  <c r="V14" i="8"/>
  <c r="X14" i="8"/>
  <c r="L13" i="8"/>
  <c r="L14" i="8" s="1"/>
  <c r="U13" i="8"/>
  <c r="F14" i="8"/>
  <c r="U14" i="8" s="1"/>
  <c r="S39" i="8"/>
  <c r="F39" i="8"/>
  <c r="D40" i="8"/>
  <c r="S40" i="8" s="1"/>
  <c r="Y13" i="8"/>
  <c r="Y14" i="8"/>
  <c r="T39" i="8"/>
  <c r="E40" i="8"/>
  <c r="Q39" i="8"/>
  <c r="V39" i="8"/>
  <c r="X39" i="8"/>
  <c r="W39" i="8"/>
  <c r="B40" i="8"/>
  <c r="T14" i="8"/>
  <c r="AF44" i="6"/>
  <c r="T44" i="6"/>
  <c r="V12" i="6"/>
  <c r="V8" i="6"/>
  <c r="U34" i="6"/>
  <c r="U40" i="6"/>
  <c r="V40" i="6" s="1"/>
  <c r="V20" i="6"/>
  <c r="AA44" i="6"/>
  <c r="R44" i="6"/>
  <c r="AA45" i="6"/>
  <c r="E7" i="11" s="1"/>
  <c r="AE44" i="6"/>
  <c r="AI40" i="6"/>
  <c r="Z44" i="6"/>
  <c r="Z45" i="6"/>
  <c r="Q44" i="6"/>
  <c r="U44" i="6" s="1"/>
  <c r="V44" i="6" s="1"/>
  <c r="AE45" i="6"/>
  <c r="E11" i="11" s="1"/>
  <c r="S44" i="6"/>
  <c r="AD44" i="6"/>
  <c r="U39" i="6"/>
  <c r="AJ44" i="6"/>
  <c r="K44" i="6"/>
  <c r="K33" i="6"/>
  <c r="AH33" i="6" s="1"/>
  <c r="K29" i="6"/>
  <c r="AH29" i="6" s="1"/>
  <c r="K25" i="6"/>
  <c r="AH25" i="6" s="1"/>
  <c r="K21" i="6"/>
  <c r="AH21" i="6" s="1"/>
  <c r="K17" i="6"/>
  <c r="AH17" i="6" s="1"/>
  <c r="K13" i="6"/>
  <c r="AH13" i="6" s="1"/>
  <c r="M44" i="6"/>
  <c r="G30" i="4"/>
  <c r="C30" i="4"/>
  <c r="E30" i="4"/>
  <c r="F30" i="4"/>
  <c r="D30" i="4"/>
  <c r="H30" i="4"/>
  <c r="J30" i="4"/>
  <c r="C21" i="4"/>
  <c r="D21" i="4"/>
  <c r="I21" i="4"/>
  <c r="G21" i="4"/>
  <c r="J21" i="4"/>
  <c r="E21" i="4"/>
  <c r="H21" i="4"/>
  <c r="K87" i="4" l="1"/>
  <c r="K80" i="4"/>
  <c r="K77" i="4"/>
  <c r="K89" i="4"/>
  <c r="K86" i="4"/>
  <c r="K83" i="4"/>
  <c r="K78" i="4"/>
  <c r="I153" i="12"/>
  <c r="I122" i="12"/>
  <c r="I182" i="12"/>
  <c r="I92" i="12"/>
  <c r="I5" i="12"/>
  <c r="I62" i="12"/>
  <c r="I32" i="12"/>
  <c r="I183" i="12"/>
  <c r="I154" i="12"/>
  <c r="I123" i="12"/>
  <c r="I93" i="12"/>
  <c r="I63" i="12"/>
  <c r="I33" i="12"/>
  <c r="I6" i="12"/>
  <c r="I187" i="12"/>
  <c r="I127" i="12"/>
  <c r="I158" i="12"/>
  <c r="I97" i="12"/>
  <c r="I37" i="12"/>
  <c r="I10" i="12"/>
  <c r="I67" i="12"/>
  <c r="Y39" i="8"/>
  <c r="T40" i="8"/>
  <c r="Q40" i="8"/>
  <c r="L40" i="8"/>
  <c r="U39" i="8"/>
  <c r="F40" i="8"/>
  <c r="U40" i="8" s="1"/>
  <c r="W40" i="8"/>
  <c r="X40" i="8"/>
  <c r="V40" i="8"/>
  <c r="Y40" i="8" s="1"/>
  <c r="AA14" i="8"/>
  <c r="AA13" i="8"/>
  <c r="W44" i="6"/>
  <c r="AH44" i="6"/>
  <c r="AI44" i="6" s="1"/>
  <c r="AI24" i="6"/>
  <c r="AI8" i="6"/>
  <c r="V32" i="6"/>
  <c r="V16" i="6"/>
  <c r="AI28" i="6"/>
  <c r="AI4" i="6"/>
  <c r="AI12" i="6"/>
  <c r="AI32" i="6"/>
  <c r="AI20" i="6"/>
  <c r="V28" i="6"/>
  <c r="V24" i="6"/>
  <c r="AI16" i="6"/>
  <c r="AI36" i="6"/>
  <c r="V36" i="6"/>
  <c r="V4" i="6"/>
  <c r="L40" i="6"/>
  <c r="L32" i="6"/>
  <c r="L12" i="6"/>
  <c r="L44" i="6"/>
  <c r="L36" i="6"/>
  <c r="L8" i="6"/>
  <c r="L16" i="6"/>
  <c r="L28" i="6"/>
  <c r="L20" i="6"/>
  <c r="L24" i="6"/>
  <c r="L4" i="6"/>
  <c r="J29" i="4"/>
  <c r="I29" i="4"/>
  <c r="H29" i="4"/>
  <c r="G29" i="4"/>
  <c r="F29" i="4"/>
  <c r="E29" i="4"/>
  <c r="D29" i="4"/>
  <c r="C29" i="4"/>
  <c r="J25" i="4"/>
  <c r="J35" i="6" s="1"/>
  <c r="AG35" i="6" s="1"/>
  <c r="I25" i="4"/>
  <c r="I35" i="6" s="1"/>
  <c r="H25" i="4"/>
  <c r="H35" i="6" s="1"/>
  <c r="AE35" i="6" s="1"/>
  <c r="G25" i="4"/>
  <c r="G35" i="6" s="1"/>
  <c r="AD35" i="6" s="1"/>
  <c r="F25" i="4"/>
  <c r="F35" i="6" s="1"/>
  <c r="AC35" i="6" s="1"/>
  <c r="E25" i="4"/>
  <c r="E35" i="6" s="1"/>
  <c r="D25" i="4"/>
  <c r="D35" i="6" s="1"/>
  <c r="C25" i="4"/>
  <c r="C35" i="6" s="1"/>
  <c r="J22" i="4"/>
  <c r="J31" i="6" s="1"/>
  <c r="AG31" i="6" s="1"/>
  <c r="I22" i="4"/>
  <c r="I31" i="6" s="1"/>
  <c r="H22" i="4"/>
  <c r="H31" i="6" s="1"/>
  <c r="AE31" i="6" s="1"/>
  <c r="G22" i="4"/>
  <c r="G31" i="6" s="1"/>
  <c r="AD31" i="6" s="1"/>
  <c r="F22" i="4"/>
  <c r="F31" i="6" s="1"/>
  <c r="AC31" i="6" s="1"/>
  <c r="E22" i="4"/>
  <c r="E31" i="6" s="1"/>
  <c r="D22" i="4"/>
  <c r="D31" i="6" s="1"/>
  <c r="C22" i="4"/>
  <c r="C31" i="6" s="1"/>
  <c r="J20" i="4"/>
  <c r="I20" i="4"/>
  <c r="H20" i="4"/>
  <c r="G20" i="4"/>
  <c r="F20" i="4"/>
  <c r="E20" i="4"/>
  <c r="D20" i="4"/>
  <c r="C20" i="4"/>
  <c r="J16" i="4"/>
  <c r="J23" i="6" s="1"/>
  <c r="AG23" i="6" s="1"/>
  <c r="I16" i="4"/>
  <c r="I23" i="6" s="1"/>
  <c r="H16" i="4"/>
  <c r="H23" i="6" s="1"/>
  <c r="AE23" i="6" s="1"/>
  <c r="G16" i="4"/>
  <c r="G23" i="6" s="1"/>
  <c r="AD23" i="6" s="1"/>
  <c r="F16" i="4"/>
  <c r="F23" i="6" s="1"/>
  <c r="AC23" i="6" s="1"/>
  <c r="E16" i="4"/>
  <c r="E23" i="6" s="1"/>
  <c r="D16" i="4"/>
  <c r="D23" i="6" s="1"/>
  <c r="C16" i="4"/>
  <c r="C23" i="6" s="1"/>
  <c r="J13" i="4"/>
  <c r="J19" i="6" s="1"/>
  <c r="AG19" i="6" s="1"/>
  <c r="I13" i="4"/>
  <c r="I19" i="6" s="1"/>
  <c r="H13" i="4"/>
  <c r="H19" i="6" s="1"/>
  <c r="AE19" i="6" s="1"/>
  <c r="G13" i="4"/>
  <c r="G19" i="6" s="1"/>
  <c r="AD19" i="6" s="1"/>
  <c r="F13" i="4"/>
  <c r="F19" i="6" s="1"/>
  <c r="AC19" i="6" s="1"/>
  <c r="E13" i="4"/>
  <c r="E19" i="6" s="1"/>
  <c r="D13" i="4"/>
  <c r="D19" i="6" s="1"/>
  <c r="C13" i="4"/>
  <c r="C19" i="6" s="1"/>
  <c r="J10" i="4"/>
  <c r="J15" i="6" s="1"/>
  <c r="AG15" i="6" s="1"/>
  <c r="I10" i="4"/>
  <c r="I15" i="6" s="1"/>
  <c r="H10" i="4"/>
  <c r="H15" i="6" s="1"/>
  <c r="AE15" i="6" s="1"/>
  <c r="G10" i="4"/>
  <c r="G15" i="6" s="1"/>
  <c r="AD15" i="6" s="1"/>
  <c r="F10" i="4"/>
  <c r="F15" i="6" s="1"/>
  <c r="AC15" i="6" s="1"/>
  <c r="E10" i="4"/>
  <c r="E15" i="6" s="1"/>
  <c r="D10" i="4"/>
  <c r="D15" i="6" s="1"/>
  <c r="C10" i="4"/>
  <c r="C15" i="6" s="1"/>
  <c r="J7" i="4"/>
  <c r="J11" i="6" s="1"/>
  <c r="AG11" i="6" s="1"/>
  <c r="I7" i="4"/>
  <c r="I11" i="6" s="1"/>
  <c r="H7" i="4"/>
  <c r="H11" i="6" s="1"/>
  <c r="AE11" i="6" s="1"/>
  <c r="G7" i="4"/>
  <c r="G11" i="6" s="1"/>
  <c r="AD11" i="6" s="1"/>
  <c r="F7" i="4"/>
  <c r="F11" i="6" s="1"/>
  <c r="AC11" i="6" s="1"/>
  <c r="E7" i="4"/>
  <c r="E11" i="6" s="1"/>
  <c r="D7" i="4"/>
  <c r="D11" i="6" s="1"/>
  <c r="C7" i="4"/>
  <c r="C11" i="6" s="1"/>
  <c r="D4" i="4"/>
  <c r="E4" i="4"/>
  <c r="F4" i="4"/>
  <c r="G4" i="4"/>
  <c r="H4" i="4"/>
  <c r="I4" i="4"/>
  <c r="J4" i="4"/>
  <c r="C4" i="4"/>
  <c r="C7" i="6" s="1"/>
  <c r="D26" i="3"/>
  <c r="E26" i="3"/>
  <c r="F26" i="3"/>
  <c r="G26" i="3"/>
  <c r="H26" i="3"/>
  <c r="I26" i="3"/>
  <c r="J26" i="3"/>
  <c r="K26" i="3"/>
  <c r="C26" i="3"/>
  <c r="D29" i="3"/>
  <c r="E29" i="3"/>
  <c r="F29" i="3"/>
  <c r="G29" i="3"/>
  <c r="H29" i="3"/>
  <c r="I29" i="3"/>
  <c r="J29" i="3"/>
  <c r="K29" i="3"/>
  <c r="C29" i="3"/>
  <c r="D23" i="3"/>
  <c r="E23" i="3"/>
  <c r="F23" i="3"/>
  <c r="G23" i="3"/>
  <c r="H23" i="3"/>
  <c r="I23" i="3"/>
  <c r="J23" i="3"/>
  <c r="K23" i="3"/>
  <c r="C23" i="3"/>
  <c r="D20" i="3"/>
  <c r="E20" i="3"/>
  <c r="F20" i="3"/>
  <c r="G20" i="3"/>
  <c r="H20" i="3"/>
  <c r="I20" i="3"/>
  <c r="J20" i="3"/>
  <c r="K20" i="3"/>
  <c r="C20" i="3"/>
  <c r="D17" i="3"/>
  <c r="E17" i="3"/>
  <c r="F17" i="3"/>
  <c r="G17" i="3"/>
  <c r="H17" i="3"/>
  <c r="I17" i="3"/>
  <c r="J17" i="3"/>
  <c r="K17" i="3"/>
  <c r="C17" i="3"/>
  <c r="D14" i="3"/>
  <c r="E14" i="3"/>
  <c r="F14" i="3"/>
  <c r="G14" i="3"/>
  <c r="H14" i="3"/>
  <c r="I14" i="3"/>
  <c r="J14" i="3"/>
  <c r="K14" i="3"/>
  <c r="C14" i="3"/>
  <c r="D31" i="3"/>
  <c r="E31" i="3"/>
  <c r="F31" i="3"/>
  <c r="G31" i="3"/>
  <c r="H31" i="3"/>
  <c r="I31" i="3"/>
  <c r="J31" i="3"/>
  <c r="K47" i="3"/>
  <c r="C31" i="3"/>
  <c r="C34" i="3" s="1"/>
  <c r="D11" i="3"/>
  <c r="E11" i="3"/>
  <c r="F11" i="3"/>
  <c r="G11" i="3"/>
  <c r="H11" i="3"/>
  <c r="I11" i="3"/>
  <c r="J11" i="3"/>
  <c r="K11" i="3"/>
  <c r="C11" i="3"/>
  <c r="K8" i="3"/>
  <c r="D8" i="3"/>
  <c r="E8" i="3"/>
  <c r="F8" i="3"/>
  <c r="G8" i="3"/>
  <c r="H8" i="3"/>
  <c r="I8" i="3"/>
  <c r="J8" i="3"/>
  <c r="C8" i="3"/>
  <c r="D5" i="3"/>
  <c r="E5" i="3"/>
  <c r="F5" i="3"/>
  <c r="G5" i="3"/>
  <c r="H5" i="3"/>
  <c r="I5" i="3"/>
  <c r="J5" i="3"/>
  <c r="K5" i="3"/>
  <c r="C5" i="3"/>
  <c r="D25" i="2"/>
  <c r="E25" i="2"/>
  <c r="F25" i="2"/>
  <c r="G25" i="2"/>
  <c r="H25" i="2"/>
  <c r="I25" i="2"/>
  <c r="J25" i="2"/>
  <c r="K25" i="2"/>
  <c r="C25" i="2"/>
  <c r="D17" i="2"/>
  <c r="E17" i="2"/>
  <c r="F17" i="2"/>
  <c r="G17" i="2"/>
  <c r="H17" i="2"/>
  <c r="I17" i="2"/>
  <c r="J17" i="2"/>
  <c r="K17" i="2"/>
  <c r="D19" i="2"/>
  <c r="E19" i="2"/>
  <c r="F19" i="2"/>
  <c r="G19" i="2"/>
  <c r="H19" i="2"/>
  <c r="I19" i="2"/>
  <c r="J19" i="2"/>
  <c r="K19" i="2"/>
  <c r="D21" i="2"/>
  <c r="E21" i="2"/>
  <c r="F21" i="2"/>
  <c r="G21" i="2"/>
  <c r="H21" i="2"/>
  <c r="I21" i="2"/>
  <c r="J21" i="2"/>
  <c r="K21" i="2"/>
  <c r="C21" i="2"/>
  <c r="C19" i="2"/>
  <c r="C17" i="2"/>
  <c r="D11" i="2"/>
  <c r="E11" i="2"/>
  <c r="F11" i="2"/>
  <c r="G11" i="2"/>
  <c r="H11" i="2"/>
  <c r="I11" i="2"/>
  <c r="J11" i="2"/>
  <c r="K11" i="2"/>
  <c r="D13" i="2"/>
  <c r="E13" i="2"/>
  <c r="F13" i="2"/>
  <c r="G13" i="2"/>
  <c r="H13" i="2"/>
  <c r="I13" i="2"/>
  <c r="J13" i="2"/>
  <c r="K13" i="2"/>
  <c r="D15" i="2"/>
  <c r="E15" i="2"/>
  <c r="F15" i="2"/>
  <c r="G15" i="2"/>
  <c r="H15" i="2"/>
  <c r="I15" i="2"/>
  <c r="J15" i="2"/>
  <c r="K15" i="2"/>
  <c r="C15" i="2"/>
  <c r="C13" i="2"/>
  <c r="C11" i="2"/>
  <c r="D9" i="2"/>
  <c r="E9" i="2"/>
  <c r="F9" i="2"/>
  <c r="G9" i="2"/>
  <c r="H9" i="2"/>
  <c r="I9" i="2"/>
  <c r="J9" i="2"/>
  <c r="K9" i="2"/>
  <c r="C9" i="2"/>
  <c r="D7" i="2"/>
  <c r="E7" i="2"/>
  <c r="F7" i="2"/>
  <c r="G7" i="2"/>
  <c r="H7" i="2"/>
  <c r="I7" i="2"/>
  <c r="J7" i="2"/>
  <c r="K7" i="2"/>
  <c r="C7" i="2"/>
  <c r="E5" i="2"/>
  <c r="F5" i="2"/>
  <c r="G5" i="2"/>
  <c r="H5" i="2"/>
  <c r="I5" i="2"/>
  <c r="J5" i="2"/>
  <c r="K5" i="2"/>
  <c r="D5" i="2"/>
  <c r="C5" i="2"/>
  <c r="D36" i="2"/>
  <c r="D22" i="2" s="1"/>
  <c r="D41" i="6" s="1"/>
  <c r="E36" i="2"/>
  <c r="E22" i="2" s="1"/>
  <c r="E41" i="6" s="1"/>
  <c r="F36" i="2"/>
  <c r="F22" i="2" s="1"/>
  <c r="F41" i="6" s="1"/>
  <c r="AC41" i="6" s="1"/>
  <c r="G36" i="2"/>
  <c r="G22" i="2" s="1"/>
  <c r="G41" i="6" s="1"/>
  <c r="AD41" i="6" s="1"/>
  <c r="H36" i="2"/>
  <c r="H22" i="2" s="1"/>
  <c r="H41" i="6" s="1"/>
  <c r="AE41" i="6" s="1"/>
  <c r="I36" i="2"/>
  <c r="I22" i="2" s="1"/>
  <c r="J36" i="2"/>
  <c r="J22" i="2" s="1"/>
  <c r="K36" i="2"/>
  <c r="K22" i="2" s="1"/>
  <c r="C36" i="2"/>
  <c r="C22" i="2" s="1"/>
  <c r="C41" i="6" s="1"/>
  <c r="L28" i="2"/>
  <c r="L29" i="2"/>
  <c r="L6" i="2"/>
  <c r="L30" i="2"/>
  <c r="L14" i="2"/>
  <c r="L16" i="2"/>
  <c r="L31" i="2"/>
  <c r="L20" i="2"/>
  <c r="L18" i="2"/>
  <c r="L32" i="2"/>
  <c r="L8" i="2"/>
  <c r="L10" i="2"/>
  <c r="L34" i="2"/>
  <c r="L33" i="2"/>
  <c r="L12" i="2"/>
  <c r="L24" i="2"/>
  <c r="L4" i="2"/>
  <c r="D21" i="1"/>
  <c r="E21" i="1"/>
  <c r="F21" i="1"/>
  <c r="G21" i="1"/>
  <c r="H21" i="1"/>
  <c r="I21" i="1"/>
  <c r="J21" i="1"/>
  <c r="K21" i="1"/>
  <c r="D19" i="1"/>
  <c r="E19" i="1"/>
  <c r="F19" i="1"/>
  <c r="G19" i="1"/>
  <c r="H19" i="1"/>
  <c r="I19" i="1"/>
  <c r="J19" i="1"/>
  <c r="K19" i="1"/>
  <c r="D17" i="1"/>
  <c r="E17" i="1"/>
  <c r="F17" i="1"/>
  <c r="G17" i="1"/>
  <c r="H17" i="1"/>
  <c r="I17" i="1"/>
  <c r="J17" i="1"/>
  <c r="K17" i="1"/>
  <c r="D15" i="1"/>
  <c r="E15" i="1"/>
  <c r="F15" i="1"/>
  <c r="G15" i="1"/>
  <c r="H15" i="1"/>
  <c r="I15" i="1"/>
  <c r="J15" i="1"/>
  <c r="K15" i="1"/>
  <c r="D13" i="1"/>
  <c r="E13" i="1"/>
  <c r="F13" i="1"/>
  <c r="G13" i="1"/>
  <c r="H13" i="1"/>
  <c r="I13" i="1"/>
  <c r="J13" i="1"/>
  <c r="K13" i="1"/>
  <c r="D11" i="1"/>
  <c r="E11" i="1"/>
  <c r="F11" i="1"/>
  <c r="G11" i="1"/>
  <c r="H11" i="1"/>
  <c r="I11" i="1"/>
  <c r="J11" i="1"/>
  <c r="K11" i="1"/>
  <c r="D9" i="1"/>
  <c r="E9" i="1"/>
  <c r="F9" i="1"/>
  <c r="G9" i="1"/>
  <c r="H9" i="1"/>
  <c r="I9" i="1"/>
  <c r="J9" i="1"/>
  <c r="K9" i="1"/>
  <c r="D7" i="1"/>
  <c r="E7" i="1"/>
  <c r="F7" i="1"/>
  <c r="G7" i="1"/>
  <c r="H7" i="1"/>
  <c r="I7" i="1"/>
  <c r="J7" i="1"/>
  <c r="K7" i="1"/>
  <c r="K5" i="1"/>
  <c r="D5" i="1"/>
  <c r="E5" i="1"/>
  <c r="F5" i="1"/>
  <c r="G5" i="1"/>
  <c r="H5" i="1"/>
  <c r="I5" i="1"/>
  <c r="J5" i="1"/>
  <c r="C21" i="1"/>
  <c r="C19" i="1"/>
  <c r="C17" i="1"/>
  <c r="C15" i="1"/>
  <c r="C13" i="1"/>
  <c r="C11" i="1"/>
  <c r="C9" i="1"/>
  <c r="C7" i="1"/>
  <c r="C5" i="1"/>
  <c r="D38" i="1"/>
  <c r="D22" i="1" s="1"/>
  <c r="D24" i="1" s="1"/>
  <c r="E38" i="1"/>
  <c r="E22" i="1" s="1"/>
  <c r="E24" i="1" s="1"/>
  <c r="F38" i="1"/>
  <c r="F22" i="1" s="1"/>
  <c r="F24" i="1" s="1"/>
  <c r="G38" i="1"/>
  <c r="G22" i="1" s="1"/>
  <c r="G24" i="1" s="1"/>
  <c r="H38" i="1"/>
  <c r="H22" i="1" s="1"/>
  <c r="I38" i="1"/>
  <c r="I22" i="1" s="1"/>
  <c r="J38" i="1"/>
  <c r="J22" i="1" s="1"/>
  <c r="K38" i="1"/>
  <c r="C38" i="1"/>
  <c r="C22" i="1" s="1"/>
  <c r="D8" i="11" l="1"/>
  <c r="A18" i="12"/>
  <c r="D7" i="11"/>
  <c r="AA7" i="11" s="1"/>
  <c r="A17" i="12"/>
  <c r="D10" i="11"/>
  <c r="A20" i="12"/>
  <c r="D9" i="11"/>
  <c r="F9" i="11" s="1"/>
  <c r="A19" i="12"/>
  <c r="E80" i="2"/>
  <c r="E86" i="3" s="1"/>
  <c r="F80" i="2"/>
  <c r="F86" i="3" s="1"/>
  <c r="G80" i="2"/>
  <c r="G86" i="3" s="1"/>
  <c r="H80" i="2"/>
  <c r="H86" i="3" s="1"/>
  <c r="I80" i="2"/>
  <c r="I86" i="3" s="1"/>
  <c r="J80" i="2"/>
  <c r="J86" i="3" s="1"/>
  <c r="D80" i="2"/>
  <c r="D86" i="3" s="1"/>
  <c r="K80" i="2"/>
  <c r="K86" i="3" s="1"/>
  <c r="C80" i="2"/>
  <c r="C86" i="3" s="1"/>
  <c r="F8" i="11"/>
  <c r="F10" i="11"/>
  <c r="J41" i="6"/>
  <c r="AG41" i="6" s="1"/>
  <c r="J23" i="2"/>
  <c r="I41" i="6"/>
  <c r="I23" i="2"/>
  <c r="L22" i="2"/>
  <c r="C23" i="2"/>
  <c r="K23" i="2"/>
  <c r="D23" i="2"/>
  <c r="E23" i="2"/>
  <c r="F23" i="2"/>
  <c r="Q41" i="6"/>
  <c r="Z41" i="6"/>
  <c r="AA41" i="6"/>
  <c r="R41" i="6"/>
  <c r="AB41" i="6"/>
  <c r="S41" i="6"/>
  <c r="H23" i="2"/>
  <c r="G23" i="2"/>
  <c r="D31" i="4"/>
  <c r="D43" i="6" s="1"/>
  <c r="AA43" i="6" s="1"/>
  <c r="D34" i="3"/>
  <c r="D33" i="3"/>
  <c r="D42" i="6"/>
  <c r="AA42" i="6" s="1"/>
  <c r="C36" i="3"/>
  <c r="C46" i="6"/>
  <c r="J31" i="4"/>
  <c r="J34" i="4" s="1"/>
  <c r="J47" i="6" s="1"/>
  <c r="AG47" i="6" s="1"/>
  <c r="J34" i="3"/>
  <c r="J42" i="6"/>
  <c r="AG42" i="6" s="1"/>
  <c r="J33" i="3"/>
  <c r="I31" i="4"/>
  <c r="I34" i="4" s="1"/>
  <c r="I47" i="6" s="1"/>
  <c r="I34" i="3"/>
  <c r="I33" i="3"/>
  <c r="I42" i="6"/>
  <c r="H31" i="4"/>
  <c r="H34" i="4" s="1"/>
  <c r="H47" i="6" s="1"/>
  <c r="AE47" i="6" s="1"/>
  <c r="H34" i="3"/>
  <c r="H42" i="6"/>
  <c r="AE42" i="6" s="1"/>
  <c r="H33" i="3"/>
  <c r="G31" i="4"/>
  <c r="G34" i="4" s="1"/>
  <c r="G47" i="6" s="1"/>
  <c r="AD47" i="6" s="1"/>
  <c r="G34" i="3"/>
  <c r="G33" i="3"/>
  <c r="G42" i="6"/>
  <c r="AD42" i="6" s="1"/>
  <c r="F31" i="4"/>
  <c r="F34" i="4" s="1"/>
  <c r="F47" i="6" s="1"/>
  <c r="AC47" i="6" s="1"/>
  <c r="F34" i="3"/>
  <c r="F33" i="3"/>
  <c r="F42" i="6"/>
  <c r="E31" i="4"/>
  <c r="E34" i="4" s="1"/>
  <c r="E47" i="6" s="1"/>
  <c r="AB47" i="6" s="1"/>
  <c r="E34" i="3"/>
  <c r="E33" i="3"/>
  <c r="E42" i="6"/>
  <c r="AF35" i="6"/>
  <c r="T35" i="6"/>
  <c r="AB35" i="6"/>
  <c r="S35" i="6"/>
  <c r="AA35" i="6"/>
  <c r="R35" i="6"/>
  <c r="AF31" i="6"/>
  <c r="T31" i="6"/>
  <c r="AB31" i="6"/>
  <c r="S31" i="6"/>
  <c r="AA31" i="6"/>
  <c r="R31" i="6"/>
  <c r="AF23" i="6"/>
  <c r="T23" i="6"/>
  <c r="AB23" i="6"/>
  <c r="S23" i="6"/>
  <c r="AA23" i="6"/>
  <c r="R23" i="6"/>
  <c r="AF19" i="6"/>
  <c r="T19" i="6"/>
  <c r="S19" i="6"/>
  <c r="AB19" i="6"/>
  <c r="R19" i="6"/>
  <c r="AA19" i="6"/>
  <c r="AF15" i="6"/>
  <c r="T15" i="6"/>
  <c r="AB15" i="6"/>
  <c r="S15" i="6"/>
  <c r="AA15" i="6"/>
  <c r="R15" i="6"/>
  <c r="AF11" i="6"/>
  <c r="T11" i="6"/>
  <c r="S11" i="6"/>
  <c r="AB11" i="6"/>
  <c r="AA11" i="6"/>
  <c r="R11" i="6"/>
  <c r="J5" i="4"/>
  <c r="J7" i="6"/>
  <c r="AG7" i="6" s="1"/>
  <c r="I5" i="4"/>
  <c r="I7" i="6"/>
  <c r="H5" i="4"/>
  <c r="H7" i="6"/>
  <c r="AE7" i="6" s="1"/>
  <c r="G5" i="4"/>
  <c r="G7" i="6"/>
  <c r="AD7" i="6" s="1"/>
  <c r="F5" i="4"/>
  <c r="F7" i="6"/>
  <c r="AC7" i="6" s="1"/>
  <c r="E5" i="4"/>
  <c r="E7" i="6"/>
  <c r="D5" i="4"/>
  <c r="D7" i="6"/>
  <c r="C31" i="4"/>
  <c r="C43" i="6" s="1"/>
  <c r="C42" i="6"/>
  <c r="C33" i="3"/>
  <c r="Q35" i="6"/>
  <c r="Z35" i="6"/>
  <c r="K35" i="6"/>
  <c r="AH35" i="6" s="1"/>
  <c r="Q31" i="6"/>
  <c r="Z31" i="6"/>
  <c r="K31" i="6"/>
  <c r="AH31" i="6" s="1"/>
  <c r="Z23" i="6"/>
  <c r="Q23" i="6"/>
  <c r="K23" i="6"/>
  <c r="AH23" i="6" s="1"/>
  <c r="Q19" i="6"/>
  <c r="K19" i="6"/>
  <c r="AH19" i="6" s="1"/>
  <c r="Z19" i="6"/>
  <c r="Z15" i="6"/>
  <c r="Q15" i="6"/>
  <c r="K15" i="6"/>
  <c r="AH15" i="6" s="1"/>
  <c r="Q11" i="6"/>
  <c r="K11" i="6"/>
  <c r="AH11" i="6" s="1"/>
  <c r="Z11" i="6"/>
  <c r="Q7" i="6"/>
  <c r="Z7" i="6"/>
  <c r="I24" i="1"/>
  <c r="H24" i="1"/>
  <c r="C24" i="1"/>
  <c r="K22" i="1"/>
  <c r="J23" i="1" s="1"/>
  <c r="D23" i="1"/>
  <c r="J24" i="1"/>
  <c r="K45" i="6"/>
  <c r="AH45" i="6" s="1"/>
  <c r="K31" i="3"/>
  <c r="F26" i="4"/>
  <c r="E26" i="4"/>
  <c r="G26" i="4"/>
  <c r="H26" i="4"/>
  <c r="I26" i="4"/>
  <c r="J26" i="4"/>
  <c r="C26" i="4"/>
  <c r="D26" i="4"/>
  <c r="E23" i="4"/>
  <c r="G23" i="4"/>
  <c r="F23" i="4"/>
  <c r="H23" i="4"/>
  <c r="I23" i="4"/>
  <c r="J23" i="4"/>
  <c r="C23" i="4"/>
  <c r="D23" i="4"/>
  <c r="F17" i="4"/>
  <c r="G17" i="4"/>
  <c r="H17" i="4"/>
  <c r="E17" i="4"/>
  <c r="I17" i="4"/>
  <c r="J17" i="4"/>
  <c r="D17" i="4"/>
  <c r="G14" i="4"/>
  <c r="F14" i="4"/>
  <c r="H14" i="4"/>
  <c r="I14" i="4"/>
  <c r="J14" i="4"/>
  <c r="D14" i="4"/>
  <c r="E14" i="4"/>
  <c r="G8" i="4"/>
  <c r="H8" i="4"/>
  <c r="H11" i="4"/>
  <c r="I8" i="4"/>
  <c r="J8" i="4"/>
  <c r="F8" i="4"/>
  <c r="D8" i="4"/>
  <c r="D11" i="4"/>
  <c r="E8" i="4"/>
  <c r="K4" i="4"/>
  <c r="K7" i="4"/>
  <c r="K8" i="4" s="1"/>
  <c r="K10" i="4"/>
  <c r="K13" i="4"/>
  <c r="K16" i="4"/>
  <c r="J11" i="4"/>
  <c r="E11" i="4"/>
  <c r="C5" i="4"/>
  <c r="I11" i="4"/>
  <c r="G11" i="4"/>
  <c r="F11" i="4"/>
  <c r="C14" i="4"/>
  <c r="C17" i="4"/>
  <c r="C8" i="4"/>
  <c r="K22" i="4"/>
  <c r="C11" i="4"/>
  <c r="K29" i="4"/>
  <c r="K25" i="4"/>
  <c r="K20" i="4"/>
  <c r="K23" i="1"/>
  <c r="K24" i="1" s="1"/>
  <c r="F7" i="11" l="1"/>
  <c r="AC7" i="11" s="1"/>
  <c r="D13" i="11"/>
  <c r="A23" i="12"/>
  <c r="D11" i="11"/>
  <c r="F11" i="11" s="1"/>
  <c r="A21" i="12"/>
  <c r="D6" i="11"/>
  <c r="A16" i="12"/>
  <c r="AK7" i="11"/>
  <c r="D12" i="11"/>
  <c r="AA9" i="11" s="1"/>
  <c r="A22" i="12"/>
  <c r="D32" i="4"/>
  <c r="G18" i="4"/>
  <c r="C75" i="4"/>
  <c r="D75" i="4"/>
  <c r="J75" i="4"/>
  <c r="F75" i="4"/>
  <c r="I75" i="4"/>
  <c r="H75" i="4"/>
  <c r="G75" i="4"/>
  <c r="E75" i="4"/>
  <c r="K26" i="4"/>
  <c r="J84" i="4"/>
  <c r="D84" i="4"/>
  <c r="E84" i="4"/>
  <c r="C84" i="4"/>
  <c r="G84" i="4"/>
  <c r="I84" i="4"/>
  <c r="F84" i="4"/>
  <c r="H84" i="4"/>
  <c r="G63" i="4"/>
  <c r="I63" i="4"/>
  <c r="J63" i="4"/>
  <c r="D63" i="4"/>
  <c r="H63" i="4"/>
  <c r="C63" i="4"/>
  <c r="K63" i="4" s="1"/>
  <c r="E63" i="4"/>
  <c r="F63" i="4"/>
  <c r="K14" i="4"/>
  <c r="I72" i="4"/>
  <c r="G72" i="4"/>
  <c r="J72" i="4"/>
  <c r="D72" i="4"/>
  <c r="C72" i="4"/>
  <c r="K72" i="4" s="1"/>
  <c r="F72" i="4"/>
  <c r="E72" i="4"/>
  <c r="H72" i="4"/>
  <c r="C69" i="4"/>
  <c r="E69" i="4"/>
  <c r="H69" i="4"/>
  <c r="J69" i="4"/>
  <c r="F69" i="4"/>
  <c r="G69" i="4"/>
  <c r="D69" i="4"/>
  <c r="I69" i="4"/>
  <c r="F81" i="4"/>
  <c r="I81" i="4"/>
  <c r="G81" i="4"/>
  <c r="E81" i="4"/>
  <c r="H81" i="4"/>
  <c r="D81" i="4"/>
  <c r="J81" i="4"/>
  <c r="C81" i="4"/>
  <c r="K41" i="6"/>
  <c r="AH41" i="6" s="1"/>
  <c r="K34" i="3"/>
  <c r="H100" i="3"/>
  <c r="G100" i="3"/>
  <c r="E100" i="3"/>
  <c r="J100" i="3"/>
  <c r="F100" i="3"/>
  <c r="I100" i="3"/>
  <c r="D100" i="3"/>
  <c r="C100" i="3"/>
  <c r="K100" i="3"/>
  <c r="AM7" i="11"/>
  <c r="F13" i="11"/>
  <c r="L66" i="1"/>
  <c r="L70" i="1"/>
  <c r="L76" i="1"/>
  <c r="L68" i="1"/>
  <c r="I83" i="1"/>
  <c r="L62" i="1"/>
  <c r="L64" i="1"/>
  <c r="H83" i="1"/>
  <c r="L72" i="1"/>
  <c r="L78" i="1"/>
  <c r="L74" i="1"/>
  <c r="G83" i="1"/>
  <c r="C83" i="1"/>
  <c r="E83" i="1"/>
  <c r="D83" i="1"/>
  <c r="L80" i="1"/>
  <c r="J83" i="1"/>
  <c r="F83" i="1"/>
  <c r="K26" i="2"/>
  <c r="E23" i="1"/>
  <c r="I23" i="1"/>
  <c r="H81" i="1"/>
  <c r="D81" i="1"/>
  <c r="J81" i="1"/>
  <c r="F81" i="1"/>
  <c r="I81" i="1"/>
  <c r="G81" i="1"/>
  <c r="C81" i="1"/>
  <c r="E81" i="1"/>
  <c r="K81" i="1"/>
  <c r="K82" i="1" s="1"/>
  <c r="AK6" i="11"/>
  <c r="AA6" i="11"/>
  <c r="D15" i="11"/>
  <c r="C13" i="11" s="1"/>
  <c r="F6" i="11"/>
  <c r="AA8" i="11"/>
  <c r="D34" i="4"/>
  <c r="D47" i="6" s="1"/>
  <c r="AA47" i="6" s="1"/>
  <c r="AB7" i="11"/>
  <c r="T41" i="6"/>
  <c r="U41" i="6" s="1"/>
  <c r="AF41" i="6"/>
  <c r="D36" i="3"/>
  <c r="D46" i="6"/>
  <c r="C35" i="10"/>
  <c r="Q46" i="6"/>
  <c r="Z46" i="6"/>
  <c r="G6" i="11" s="1"/>
  <c r="J32" i="4"/>
  <c r="J43" i="6"/>
  <c r="AG43" i="6" s="1"/>
  <c r="J36" i="3"/>
  <c r="J46" i="6"/>
  <c r="AG46" i="6" s="1"/>
  <c r="G13" i="11" s="1"/>
  <c r="I32" i="4"/>
  <c r="I43" i="6"/>
  <c r="AF42" i="6"/>
  <c r="T42" i="6"/>
  <c r="I36" i="3"/>
  <c r="I46" i="6"/>
  <c r="H32" i="4"/>
  <c r="H43" i="6"/>
  <c r="AE43" i="6" s="1"/>
  <c r="H36" i="3"/>
  <c r="H46" i="6"/>
  <c r="AE46" i="6" s="1"/>
  <c r="G11" i="11" s="1"/>
  <c r="G32" i="4"/>
  <c r="G43" i="6"/>
  <c r="AD43" i="6" s="1"/>
  <c r="G36" i="3"/>
  <c r="G46" i="6"/>
  <c r="AD46" i="6" s="1"/>
  <c r="G10" i="11" s="1"/>
  <c r="F32" i="4"/>
  <c r="F43" i="6"/>
  <c r="F36" i="3"/>
  <c r="F46" i="6"/>
  <c r="R42" i="6"/>
  <c r="AC42" i="6"/>
  <c r="G32" i="3"/>
  <c r="AB42" i="6"/>
  <c r="S42" i="6"/>
  <c r="M34" i="3"/>
  <c r="E36" i="3"/>
  <c r="E46" i="6"/>
  <c r="E32" i="4"/>
  <c r="E43" i="6"/>
  <c r="U35" i="6"/>
  <c r="U31" i="6"/>
  <c r="U23" i="6"/>
  <c r="U19" i="6"/>
  <c r="U15" i="6"/>
  <c r="U11" i="6"/>
  <c r="AF7" i="6"/>
  <c r="T7" i="6"/>
  <c r="AB7" i="6"/>
  <c r="S7" i="6"/>
  <c r="AA7" i="6"/>
  <c r="R7" i="6"/>
  <c r="K7" i="6"/>
  <c r="AH7" i="6" s="1"/>
  <c r="C34" i="4"/>
  <c r="C47" i="6" s="1"/>
  <c r="Z43" i="6"/>
  <c r="Q43" i="6"/>
  <c r="K32" i="3"/>
  <c r="C32" i="3"/>
  <c r="H32" i="3"/>
  <c r="E32" i="3"/>
  <c r="J32" i="3"/>
  <c r="D32" i="3"/>
  <c r="I32" i="3"/>
  <c r="F32" i="3"/>
  <c r="K31" i="4"/>
  <c r="C32" i="4"/>
  <c r="Z42" i="6"/>
  <c r="K42" i="6"/>
  <c r="AH42" i="6" s="1"/>
  <c r="Q42" i="6"/>
  <c r="M24" i="1"/>
  <c r="C23" i="1"/>
  <c r="G23" i="1"/>
  <c r="H23" i="1"/>
  <c r="F23" i="1"/>
  <c r="T47" i="6"/>
  <c r="AF47" i="6"/>
  <c r="S47" i="6"/>
  <c r="K33" i="3"/>
  <c r="D27" i="4"/>
  <c r="C9" i="4"/>
  <c r="H27" i="4"/>
  <c r="J35" i="4"/>
  <c r="C27" i="4"/>
  <c r="J27" i="4"/>
  <c r="I27" i="4"/>
  <c r="H35" i="4"/>
  <c r="F35" i="4"/>
  <c r="G27" i="4"/>
  <c r="E35" i="4"/>
  <c r="F27" i="4"/>
  <c r="I35" i="4"/>
  <c r="G35" i="4"/>
  <c r="E27" i="4"/>
  <c r="L24" i="1"/>
  <c r="L12" i="1"/>
  <c r="L10" i="1"/>
  <c r="G25" i="1"/>
  <c r="H25" i="1"/>
  <c r="K25" i="1"/>
  <c r="L20" i="1"/>
  <c r="J25" i="1"/>
  <c r="L6" i="1"/>
  <c r="C25" i="1"/>
  <c r="L18" i="1"/>
  <c r="F25" i="1"/>
  <c r="L4" i="1"/>
  <c r="L14" i="1"/>
  <c r="E25" i="1"/>
  <c r="L16" i="1"/>
  <c r="L22" i="1"/>
  <c r="D25" i="1"/>
  <c r="I25" i="1"/>
  <c r="L8" i="1"/>
  <c r="K23" i="4"/>
  <c r="J24" i="4"/>
  <c r="I24" i="4"/>
  <c r="G24" i="4"/>
  <c r="C24" i="4"/>
  <c r="E24" i="4"/>
  <c r="F24" i="4"/>
  <c r="D24" i="4"/>
  <c r="H24" i="4"/>
  <c r="J15" i="4"/>
  <c r="I18" i="4"/>
  <c r="H15" i="4"/>
  <c r="K17" i="4"/>
  <c r="D18" i="4"/>
  <c r="H18" i="4"/>
  <c r="F18" i="4"/>
  <c r="C18" i="4"/>
  <c r="J18" i="4"/>
  <c r="D15" i="4"/>
  <c r="E18" i="4"/>
  <c r="E15" i="4"/>
  <c r="I15" i="4"/>
  <c r="G15" i="4"/>
  <c r="C15" i="4"/>
  <c r="F15" i="4"/>
  <c r="J12" i="4"/>
  <c r="I12" i="4"/>
  <c r="D12" i="4"/>
  <c r="F9" i="4"/>
  <c r="J9" i="4"/>
  <c r="D9" i="4"/>
  <c r="I9" i="4"/>
  <c r="H9" i="4"/>
  <c r="E9" i="4"/>
  <c r="G12" i="4"/>
  <c r="G9" i="4"/>
  <c r="C12" i="4"/>
  <c r="F12" i="4"/>
  <c r="H12" i="4"/>
  <c r="E12" i="4"/>
  <c r="K5" i="4"/>
  <c r="E6" i="4"/>
  <c r="F6" i="4"/>
  <c r="J6" i="4"/>
  <c r="G6" i="4"/>
  <c r="K11" i="4"/>
  <c r="I6" i="4"/>
  <c r="H6" i="4"/>
  <c r="C6" i="4"/>
  <c r="D6" i="4"/>
  <c r="F12" i="11" l="1"/>
  <c r="AC9" i="11" s="1"/>
  <c r="AB9" i="11" s="1"/>
  <c r="AK8" i="11"/>
  <c r="AL7" i="11"/>
  <c r="K69" i="4"/>
  <c r="K47" i="6"/>
  <c r="C48" i="6" s="1"/>
  <c r="AC8" i="11"/>
  <c r="AB8" i="11" s="1"/>
  <c r="K81" i="4"/>
  <c r="C33" i="4"/>
  <c r="I90" i="4"/>
  <c r="E90" i="4"/>
  <c r="J90" i="4"/>
  <c r="H90" i="4"/>
  <c r="F90" i="4"/>
  <c r="C90" i="4"/>
  <c r="D90" i="4"/>
  <c r="G90" i="4"/>
  <c r="K75" i="4"/>
  <c r="K84" i="4"/>
  <c r="L93" i="3"/>
  <c r="H103" i="3"/>
  <c r="H58" i="3" s="1"/>
  <c r="L96" i="3"/>
  <c r="L87" i="3"/>
  <c r="L78" i="3"/>
  <c r="L90" i="3"/>
  <c r="L75" i="3"/>
  <c r="J103" i="3"/>
  <c r="J58" i="3" s="1"/>
  <c r="L81" i="3"/>
  <c r="L84" i="3"/>
  <c r="G103" i="3"/>
  <c r="G58" i="3" s="1"/>
  <c r="E103" i="3"/>
  <c r="E58" i="3" s="1"/>
  <c r="L72" i="3"/>
  <c r="F103" i="3"/>
  <c r="F58" i="3" s="1"/>
  <c r="K103" i="3"/>
  <c r="L102" i="3"/>
  <c r="I103" i="3"/>
  <c r="I58" i="3" s="1"/>
  <c r="D103" i="3"/>
  <c r="D58" i="3" s="1"/>
  <c r="L99" i="3"/>
  <c r="C103" i="3"/>
  <c r="C58" i="3" s="1"/>
  <c r="AJ8" i="11"/>
  <c r="C11" i="11"/>
  <c r="E10" i="12" s="1"/>
  <c r="C12" i="11"/>
  <c r="E11" i="12" s="1"/>
  <c r="Z7" i="11"/>
  <c r="Z8" i="11"/>
  <c r="AJ7" i="11"/>
  <c r="C6" i="11"/>
  <c r="E5" i="12" s="1"/>
  <c r="K83" i="1"/>
  <c r="K83" i="2" s="1"/>
  <c r="L82" i="1"/>
  <c r="AK15" i="11"/>
  <c r="AJ6" i="11"/>
  <c r="E182" i="12"/>
  <c r="E92" i="12"/>
  <c r="C28" i="11"/>
  <c r="D28" i="11" s="1"/>
  <c r="F28" i="11" s="1"/>
  <c r="E129" i="12"/>
  <c r="A140" i="12" s="1"/>
  <c r="J140" i="12" s="1"/>
  <c r="E160" i="12"/>
  <c r="A171" i="12" s="1"/>
  <c r="J171" i="12" s="1"/>
  <c r="E189" i="12"/>
  <c r="A200" i="12" s="1"/>
  <c r="J200" i="12" s="1"/>
  <c r="E99" i="12"/>
  <c r="A110" i="12" s="1"/>
  <c r="J110" i="12" s="1"/>
  <c r="E12" i="12"/>
  <c r="E69" i="12"/>
  <c r="A80" i="12" s="1"/>
  <c r="J80" i="12" s="1"/>
  <c r="E39" i="12"/>
  <c r="D25" i="11"/>
  <c r="F25" i="11" s="1"/>
  <c r="D22" i="11"/>
  <c r="D21" i="11"/>
  <c r="D24" i="11"/>
  <c r="C10" i="11"/>
  <c r="C9" i="11"/>
  <c r="C7" i="11"/>
  <c r="C8" i="11"/>
  <c r="AM8" i="11"/>
  <c r="AL8" i="11" s="1"/>
  <c r="AM6" i="11"/>
  <c r="AC6" i="11"/>
  <c r="F15" i="11"/>
  <c r="Z6" i="11"/>
  <c r="AA15" i="11"/>
  <c r="Z9" i="11"/>
  <c r="R47" i="6"/>
  <c r="D35" i="4"/>
  <c r="M127" i="12"/>
  <c r="M158" i="12"/>
  <c r="M187" i="12"/>
  <c r="M10" i="12"/>
  <c r="M37" i="12"/>
  <c r="M97" i="12"/>
  <c r="M67" i="12"/>
  <c r="H11" i="11"/>
  <c r="J11" i="11" s="1"/>
  <c r="I11" i="11"/>
  <c r="G28" i="11"/>
  <c r="M160" i="12"/>
  <c r="M189" i="12"/>
  <c r="M129" i="12"/>
  <c r="M39" i="12"/>
  <c r="M99" i="12"/>
  <c r="M69" i="12"/>
  <c r="M12" i="12"/>
  <c r="H13" i="11"/>
  <c r="I13" i="11"/>
  <c r="M157" i="12"/>
  <c r="M186" i="12"/>
  <c r="M126" i="12"/>
  <c r="M96" i="12"/>
  <c r="M66" i="12"/>
  <c r="M9" i="12"/>
  <c r="M36" i="12"/>
  <c r="G25" i="11"/>
  <c r="H10" i="11"/>
  <c r="J10" i="11" s="1"/>
  <c r="I10" i="11"/>
  <c r="G21" i="11"/>
  <c r="I21" i="11" s="1"/>
  <c r="M122" i="12"/>
  <c r="M182" i="12"/>
  <c r="M153" i="12"/>
  <c r="M62" i="12"/>
  <c r="M32" i="12"/>
  <c r="M5" i="12"/>
  <c r="M92" i="12"/>
  <c r="H6" i="11"/>
  <c r="I6" i="11"/>
  <c r="U7" i="6"/>
  <c r="C24" i="10"/>
  <c r="AA46" i="6"/>
  <c r="G7" i="11" s="1"/>
  <c r="C36" i="10"/>
  <c r="D35" i="10"/>
  <c r="D36" i="10" s="1"/>
  <c r="U42" i="6"/>
  <c r="AF43" i="6"/>
  <c r="T43" i="6"/>
  <c r="K43" i="6"/>
  <c r="AH43" i="6" s="1"/>
  <c r="T46" i="6"/>
  <c r="AF46" i="6"/>
  <c r="G12" i="11" s="1"/>
  <c r="R46" i="6"/>
  <c r="AC46" i="6"/>
  <c r="G9" i="11" s="1"/>
  <c r="R43" i="6"/>
  <c r="AC43" i="6"/>
  <c r="J33" i="4"/>
  <c r="S43" i="6"/>
  <c r="AB43" i="6"/>
  <c r="AB46" i="6"/>
  <c r="G8" i="11" s="1"/>
  <c r="S46" i="6"/>
  <c r="K46" i="6"/>
  <c r="AH46" i="6" s="1"/>
  <c r="C17" i="10" s="1"/>
  <c r="C18" i="10" s="1"/>
  <c r="D33" i="4"/>
  <c r="I33" i="4"/>
  <c r="G33" i="4"/>
  <c r="Z47" i="6"/>
  <c r="Q47" i="6"/>
  <c r="H33" i="4"/>
  <c r="K34" i="4"/>
  <c r="L55" i="4" s="1"/>
  <c r="K32" i="4"/>
  <c r="C35" i="4"/>
  <c r="F33" i="4"/>
  <c r="E33" i="4"/>
  <c r="AH47" i="6"/>
  <c r="I48" i="6"/>
  <c r="J48" i="6"/>
  <c r="F48" i="6"/>
  <c r="D48" i="6"/>
  <c r="H48" i="6"/>
  <c r="K36" i="3"/>
  <c r="C12" i="10"/>
  <c r="L34" i="3"/>
  <c r="C35" i="3"/>
  <c r="L7" i="3"/>
  <c r="L28" i="3"/>
  <c r="D35" i="3"/>
  <c r="I35" i="3"/>
  <c r="L16" i="3"/>
  <c r="G35" i="3"/>
  <c r="L25" i="3"/>
  <c r="L22" i="3"/>
  <c r="K35" i="3"/>
  <c r="H35" i="3"/>
  <c r="J35" i="3"/>
  <c r="F35" i="3"/>
  <c r="L13" i="3"/>
  <c r="L19" i="3"/>
  <c r="L4" i="3"/>
  <c r="E35" i="3"/>
  <c r="L10" i="3"/>
  <c r="L31" i="3"/>
  <c r="K30" i="4"/>
  <c r="K24" i="4"/>
  <c r="K27" i="4"/>
  <c r="K15" i="4"/>
  <c r="K21" i="4"/>
  <c r="K6" i="4"/>
  <c r="K18" i="4"/>
  <c r="K12" i="4"/>
  <c r="K9" i="4"/>
  <c r="N80" i="12" l="1"/>
  <c r="E159" i="12"/>
  <c r="A170" i="12" s="1"/>
  <c r="J170" i="12" s="1"/>
  <c r="E98" i="12"/>
  <c r="A109" i="12" s="1"/>
  <c r="J109" i="12" s="1"/>
  <c r="E127" i="12"/>
  <c r="A138" i="12" s="1"/>
  <c r="J138" i="12" s="1"/>
  <c r="E188" i="12"/>
  <c r="A199" i="12" s="1"/>
  <c r="J199" i="12" s="1"/>
  <c r="E187" i="12"/>
  <c r="A198" i="12" s="1"/>
  <c r="J198" i="12" s="1"/>
  <c r="C27" i="11"/>
  <c r="D27" i="11" s="1"/>
  <c r="F27" i="11" s="1"/>
  <c r="E37" i="12"/>
  <c r="A48" i="12" s="1"/>
  <c r="J48" i="12" s="1"/>
  <c r="E128" i="12"/>
  <c r="A139" i="12" s="1"/>
  <c r="J139" i="12" s="1"/>
  <c r="E68" i="12"/>
  <c r="A79" i="12" s="1"/>
  <c r="J79" i="12" s="1"/>
  <c r="E38" i="12"/>
  <c r="A49" i="12" s="1"/>
  <c r="J49" i="12" s="1"/>
  <c r="E97" i="12"/>
  <c r="A108" i="12" s="1"/>
  <c r="J108" i="12" s="1"/>
  <c r="N171" i="12"/>
  <c r="E158" i="12"/>
  <c r="A169" i="12" s="1"/>
  <c r="J169" i="12" s="1"/>
  <c r="K90" i="4"/>
  <c r="G48" i="6"/>
  <c r="F57" i="3"/>
  <c r="F64" i="4"/>
  <c r="I57" i="3"/>
  <c r="I64" i="4"/>
  <c r="J64" i="4"/>
  <c r="J57" i="3"/>
  <c r="E48" i="6"/>
  <c r="L105" i="3"/>
  <c r="C64" i="4"/>
  <c r="K58" i="3"/>
  <c r="C57" i="3"/>
  <c r="E57" i="3"/>
  <c r="E64" i="4"/>
  <c r="G64" i="4"/>
  <c r="G57" i="3"/>
  <c r="K48" i="6"/>
  <c r="J36" i="4"/>
  <c r="D93" i="4"/>
  <c r="E93" i="4"/>
  <c r="H93" i="4"/>
  <c r="G93" i="4"/>
  <c r="F93" i="4"/>
  <c r="L67" i="4"/>
  <c r="J93" i="4"/>
  <c r="L73" i="4"/>
  <c r="L70" i="4"/>
  <c r="L61" i="4"/>
  <c r="I93" i="4"/>
  <c r="C93" i="4"/>
  <c r="K93" i="4" s="1"/>
  <c r="L91" i="4"/>
  <c r="L79" i="4"/>
  <c r="L82" i="4"/>
  <c r="L85" i="4"/>
  <c r="L76" i="4"/>
  <c r="L88" i="4"/>
  <c r="D64" i="4"/>
  <c r="D57" i="3"/>
  <c r="H64" i="4"/>
  <c r="H57" i="3"/>
  <c r="E122" i="12"/>
  <c r="A133" i="12" s="1"/>
  <c r="N133" i="12" s="1"/>
  <c r="C26" i="11"/>
  <c r="D26" i="11" s="1"/>
  <c r="E153" i="12"/>
  <c r="A164" i="12" s="1"/>
  <c r="N164" i="12" s="1"/>
  <c r="E67" i="12"/>
  <c r="A78" i="12" s="1"/>
  <c r="J78" i="12" s="1"/>
  <c r="AJ15" i="11"/>
  <c r="E32" i="12"/>
  <c r="A43" i="12" s="1"/>
  <c r="N110" i="12"/>
  <c r="N78" i="12"/>
  <c r="E62" i="12"/>
  <c r="A73" i="12" s="1"/>
  <c r="J73" i="12" s="1"/>
  <c r="C15" i="11"/>
  <c r="F26" i="11"/>
  <c r="H26" i="11"/>
  <c r="C23" i="11"/>
  <c r="E124" i="12"/>
  <c r="A135" i="12" s="1"/>
  <c r="J135" i="12" s="1"/>
  <c r="E155" i="12"/>
  <c r="A166" i="12" s="1"/>
  <c r="J166" i="12" s="1"/>
  <c r="E184" i="12"/>
  <c r="A195" i="12" s="1"/>
  <c r="J195" i="12" s="1"/>
  <c r="E94" i="12"/>
  <c r="A105" i="12" s="1"/>
  <c r="J105" i="12" s="1"/>
  <c r="E34" i="12"/>
  <c r="E64" i="12"/>
  <c r="A75" i="12" s="1"/>
  <c r="J75" i="12" s="1"/>
  <c r="E7" i="12"/>
  <c r="A50" i="12"/>
  <c r="J50" i="12" s="1"/>
  <c r="A193" i="12"/>
  <c r="J193" i="12" s="1"/>
  <c r="AM15" i="11"/>
  <c r="AL15" i="11" s="1"/>
  <c r="AL6" i="11"/>
  <c r="H22" i="11"/>
  <c r="F22" i="11"/>
  <c r="E123" i="12"/>
  <c r="A134" i="12" s="1"/>
  <c r="J134" i="12" s="1"/>
  <c r="E154" i="12"/>
  <c r="A165" i="12" s="1"/>
  <c r="J165" i="12" s="1"/>
  <c r="E183" i="12"/>
  <c r="A194" i="12" s="1"/>
  <c r="E6" i="12"/>
  <c r="E63" i="12"/>
  <c r="A74" i="12" s="1"/>
  <c r="E33" i="12"/>
  <c r="E93" i="12"/>
  <c r="A104" i="12" s="1"/>
  <c r="J104" i="12" s="1"/>
  <c r="E15" i="11"/>
  <c r="W153" i="12"/>
  <c r="W62" i="12"/>
  <c r="W182" i="12"/>
  <c r="W122" i="12"/>
  <c r="N140" i="12"/>
  <c r="E185" i="12"/>
  <c r="A196" i="12" s="1"/>
  <c r="J196" i="12" s="1"/>
  <c r="E125" i="12"/>
  <c r="A136" i="12" s="1"/>
  <c r="J136" i="12" s="1"/>
  <c r="E156" i="12"/>
  <c r="A167" i="12" s="1"/>
  <c r="J167" i="12" s="1"/>
  <c r="E65" i="12"/>
  <c r="A76" i="12" s="1"/>
  <c r="J76" i="12" s="1"/>
  <c r="E95" i="12"/>
  <c r="A106" i="12" s="1"/>
  <c r="J106" i="12" s="1"/>
  <c r="E8" i="12"/>
  <c r="E35" i="12"/>
  <c r="J23" i="12"/>
  <c r="J16" i="12"/>
  <c r="J22" i="12"/>
  <c r="J21" i="12"/>
  <c r="H24" i="11"/>
  <c r="F24" i="11"/>
  <c r="AC15" i="11"/>
  <c r="AB15" i="11" s="1"/>
  <c r="AB6" i="11"/>
  <c r="N200" i="12"/>
  <c r="Z15" i="11"/>
  <c r="E157" i="12"/>
  <c r="A168" i="12" s="1"/>
  <c r="J168" i="12" s="1"/>
  <c r="E186" i="12"/>
  <c r="A197" i="12" s="1"/>
  <c r="J197" i="12" s="1"/>
  <c r="E126" i="12"/>
  <c r="A137" i="12" s="1"/>
  <c r="J137" i="12" s="1"/>
  <c r="E96" i="12"/>
  <c r="A107" i="12" s="1"/>
  <c r="J107" i="12" s="1"/>
  <c r="E66" i="12"/>
  <c r="A77" i="12" s="1"/>
  <c r="J77" i="12" s="1"/>
  <c r="E9" i="12"/>
  <c r="E36" i="12"/>
  <c r="A103" i="12"/>
  <c r="N103" i="12" s="1"/>
  <c r="U47" i="6"/>
  <c r="R48" i="6" s="1"/>
  <c r="I25" i="11"/>
  <c r="H25" i="11"/>
  <c r="J25" i="11" s="1"/>
  <c r="G23" i="11"/>
  <c r="M124" i="12"/>
  <c r="M155" i="12"/>
  <c r="M184" i="12"/>
  <c r="M94" i="12"/>
  <c r="M64" i="12"/>
  <c r="M34" i="12"/>
  <c r="M7" i="12"/>
  <c r="H8" i="11"/>
  <c r="I8" i="11"/>
  <c r="M125" i="12"/>
  <c r="M156" i="12"/>
  <c r="M185" i="12"/>
  <c r="M8" i="12"/>
  <c r="M35" i="12"/>
  <c r="M95" i="12"/>
  <c r="M65" i="12"/>
  <c r="H9" i="11"/>
  <c r="J9" i="11" s="1"/>
  <c r="I9" i="11"/>
  <c r="G27" i="11"/>
  <c r="M188" i="12"/>
  <c r="M128" i="12"/>
  <c r="M159" i="12"/>
  <c r="N170" i="12" s="1"/>
  <c r="M11" i="12"/>
  <c r="M38" i="12"/>
  <c r="M68" i="12"/>
  <c r="N79" i="12" s="1"/>
  <c r="M98" i="12"/>
  <c r="N109" i="12" s="1"/>
  <c r="H12" i="11"/>
  <c r="J12" i="11" s="1"/>
  <c r="I12" i="11"/>
  <c r="M154" i="12"/>
  <c r="M123" i="12"/>
  <c r="N134" i="12" s="1"/>
  <c r="M183" i="12"/>
  <c r="M93" i="12"/>
  <c r="M6" i="12"/>
  <c r="M33" i="12"/>
  <c r="M63" i="12"/>
  <c r="H7" i="11"/>
  <c r="I7" i="11"/>
  <c r="J13" i="11"/>
  <c r="I28" i="11"/>
  <c r="H28" i="11"/>
  <c r="J28" i="11" s="1"/>
  <c r="AE6" i="11"/>
  <c r="AO6" i="11"/>
  <c r="J6" i="11"/>
  <c r="C26" i="10"/>
  <c r="D24" i="10"/>
  <c r="D26" i="10" s="1"/>
  <c r="U46" i="6"/>
  <c r="U43" i="6"/>
  <c r="K33" i="4"/>
  <c r="I36" i="4"/>
  <c r="L7" i="4"/>
  <c r="C36" i="4"/>
  <c r="E36" i="4"/>
  <c r="D36" i="4"/>
  <c r="L4" i="4"/>
  <c r="L16" i="4"/>
  <c r="L19" i="4"/>
  <c r="L31" i="4"/>
  <c r="L25" i="4"/>
  <c r="L28" i="4"/>
  <c r="G36" i="4"/>
  <c r="L10" i="4"/>
  <c r="H36" i="4"/>
  <c r="L13" i="4"/>
  <c r="F36" i="4"/>
  <c r="K35" i="4"/>
  <c r="L34" i="4"/>
  <c r="L22" i="4"/>
  <c r="D12" i="10"/>
  <c r="E12" i="10" s="1"/>
  <c r="C25" i="10"/>
  <c r="C13" i="10"/>
  <c r="L37" i="3"/>
  <c r="Z33" i="8"/>
  <c r="Z34" i="8"/>
  <c r="Z35" i="8"/>
  <c r="Z36" i="8"/>
  <c r="Z37" i="8"/>
  <c r="Z38" i="8"/>
  <c r="Z39" i="8"/>
  <c r="Z31" i="8"/>
  <c r="K40" i="8"/>
  <c r="N75" i="12" l="1"/>
  <c r="N104" i="12"/>
  <c r="N138" i="12"/>
  <c r="N199" i="12"/>
  <c r="N198" i="12"/>
  <c r="N77" i="12"/>
  <c r="N139" i="12"/>
  <c r="N73" i="12"/>
  <c r="N82" i="12" s="1"/>
  <c r="M71" i="12" s="1"/>
  <c r="Z63" i="12" s="1"/>
  <c r="N167" i="12"/>
  <c r="N169" i="12"/>
  <c r="N195" i="12"/>
  <c r="N21" i="12"/>
  <c r="N166" i="12"/>
  <c r="N105" i="12"/>
  <c r="N74" i="12"/>
  <c r="N135" i="12"/>
  <c r="N108" i="12"/>
  <c r="S48" i="6"/>
  <c r="U48" i="6"/>
  <c r="H65" i="4"/>
  <c r="H66" i="4"/>
  <c r="G65" i="4"/>
  <c r="G66" i="4"/>
  <c r="J47" i="4"/>
  <c r="J69" i="6"/>
  <c r="D47" i="4"/>
  <c r="D69" i="6"/>
  <c r="AA69" i="6" s="1"/>
  <c r="E65" i="4"/>
  <c r="E66" i="4"/>
  <c r="J66" i="4"/>
  <c r="J65" i="4"/>
  <c r="D66" i="4"/>
  <c r="D65" i="4"/>
  <c r="E47" i="4"/>
  <c r="E69" i="6"/>
  <c r="I66" i="4"/>
  <c r="I65" i="4"/>
  <c r="H47" i="4"/>
  <c r="H69" i="6"/>
  <c r="G47" i="4"/>
  <c r="G69" i="6"/>
  <c r="C47" i="4"/>
  <c r="C69" i="6"/>
  <c r="I47" i="4"/>
  <c r="I69" i="6"/>
  <c r="Q48" i="6"/>
  <c r="K64" i="4"/>
  <c r="C65" i="4"/>
  <c r="C66" i="4"/>
  <c r="F47" i="4"/>
  <c r="F69" i="6"/>
  <c r="F66" i="4"/>
  <c r="F65" i="4"/>
  <c r="T48" i="6"/>
  <c r="E131" i="12"/>
  <c r="N50" i="12"/>
  <c r="N107" i="12"/>
  <c r="N196" i="12"/>
  <c r="E101" i="12"/>
  <c r="N165" i="12"/>
  <c r="E41" i="12"/>
  <c r="N136" i="12"/>
  <c r="N23" i="12"/>
  <c r="J17" i="12"/>
  <c r="A202" i="12"/>
  <c r="J194" i="12"/>
  <c r="J202" i="12" s="1"/>
  <c r="A112" i="12"/>
  <c r="J103" i="12"/>
  <c r="J112" i="12" s="1"/>
  <c r="A47" i="12"/>
  <c r="J24" i="11"/>
  <c r="E71" i="12"/>
  <c r="E191" i="12"/>
  <c r="J43" i="12"/>
  <c r="A142" i="12"/>
  <c r="J133" i="12"/>
  <c r="J142" i="12" s="1"/>
  <c r="J26" i="11"/>
  <c r="N49" i="12"/>
  <c r="N76" i="12"/>
  <c r="N168" i="12"/>
  <c r="N48" i="12"/>
  <c r="N137" i="12"/>
  <c r="N193" i="12"/>
  <c r="A45" i="12"/>
  <c r="J45" i="12" s="1"/>
  <c r="N194" i="12"/>
  <c r="N22" i="12"/>
  <c r="N106" i="12"/>
  <c r="N16" i="12"/>
  <c r="A46" i="12"/>
  <c r="J46" i="12" s="1"/>
  <c r="A44" i="12"/>
  <c r="J44" i="12" s="1"/>
  <c r="J22" i="11"/>
  <c r="D23" i="11"/>
  <c r="C30" i="11"/>
  <c r="E162" i="12"/>
  <c r="E14" i="12"/>
  <c r="J19" i="12"/>
  <c r="N197" i="12"/>
  <c r="A82" i="12"/>
  <c r="J74" i="12"/>
  <c r="J82" i="12" s="1"/>
  <c r="J18" i="12"/>
  <c r="A173" i="12"/>
  <c r="J164" i="12"/>
  <c r="J173" i="12" s="1"/>
  <c r="I162" i="12" s="1"/>
  <c r="W154" i="12" s="1"/>
  <c r="N43" i="12"/>
  <c r="AE8" i="11"/>
  <c r="AD8" i="11" s="1"/>
  <c r="AF8" i="11" s="1"/>
  <c r="H15" i="11"/>
  <c r="G15" i="11" s="1"/>
  <c r="I15" i="11" s="1"/>
  <c r="AE9" i="11"/>
  <c r="AO8" i="11"/>
  <c r="J8" i="11"/>
  <c r="I23" i="11"/>
  <c r="AE7" i="11"/>
  <c r="AO7" i="11"/>
  <c r="J7" i="11"/>
  <c r="I27" i="11"/>
  <c r="H27" i="11"/>
  <c r="J27" i="11" s="1"/>
  <c r="AD6" i="11"/>
  <c r="AF6" i="11" s="1"/>
  <c r="AG6" i="11"/>
  <c r="AN6" i="11"/>
  <c r="AP6" i="11" s="1"/>
  <c r="AQ6" i="11"/>
  <c r="K36" i="4"/>
  <c r="E25" i="10"/>
  <c r="G25" i="10" s="1"/>
  <c r="G12" i="10"/>
  <c r="E17" i="10"/>
  <c r="G17" i="10" s="1"/>
  <c r="D17" i="10"/>
  <c r="D25" i="10"/>
  <c r="D13" i="10"/>
  <c r="I101" i="12" l="1"/>
  <c r="N17" i="12"/>
  <c r="I131" i="12"/>
  <c r="W123" i="12" s="1"/>
  <c r="N44" i="12"/>
  <c r="N46" i="12"/>
  <c r="I71" i="12"/>
  <c r="W63" i="12" s="1"/>
  <c r="AC63" i="12" s="1"/>
  <c r="N142" i="12"/>
  <c r="M131" i="12" s="1"/>
  <c r="Z123" i="12" s="1"/>
  <c r="N173" i="12"/>
  <c r="M162" i="12" s="1"/>
  <c r="Z154" i="12" s="1"/>
  <c r="AC154" i="12" s="1"/>
  <c r="N112" i="12"/>
  <c r="M101" i="12" s="1"/>
  <c r="D70" i="6"/>
  <c r="AA70" i="6" s="1"/>
  <c r="D48" i="4"/>
  <c r="N202" i="12"/>
  <c r="M191" i="12" s="1"/>
  <c r="Z183" i="12" s="1"/>
  <c r="K66" i="4"/>
  <c r="G70" i="6"/>
  <c r="G48" i="4"/>
  <c r="J70" i="6"/>
  <c r="J48" i="4"/>
  <c r="H48" i="4"/>
  <c r="H70" i="6"/>
  <c r="R69" i="6"/>
  <c r="AC69" i="6"/>
  <c r="S69" i="6"/>
  <c r="AB69" i="6"/>
  <c r="F48" i="4"/>
  <c r="F70" i="6"/>
  <c r="E70" i="6"/>
  <c r="E48" i="4"/>
  <c r="T69" i="6"/>
  <c r="Q69" i="6"/>
  <c r="Z69" i="6"/>
  <c r="K69" i="6"/>
  <c r="C70" i="6"/>
  <c r="K47" i="4"/>
  <c r="C48" i="4"/>
  <c r="K65" i="4"/>
  <c r="L64" i="4"/>
  <c r="I70" i="6"/>
  <c r="T70" i="6" s="1"/>
  <c r="I48" i="4"/>
  <c r="Z182" i="12"/>
  <c r="J15" i="11"/>
  <c r="AC182" i="12" s="1"/>
  <c r="A25" i="12"/>
  <c r="F134" i="12" s="1"/>
  <c r="J20" i="12"/>
  <c r="J25" i="12" s="1"/>
  <c r="N20" i="12"/>
  <c r="N45" i="12"/>
  <c r="D30" i="11"/>
  <c r="F23" i="11"/>
  <c r="I191" i="12"/>
  <c r="W183" i="12" s="1"/>
  <c r="H23" i="11"/>
  <c r="N18" i="12"/>
  <c r="A52" i="12"/>
  <c r="J47" i="12"/>
  <c r="J52" i="12" s="1"/>
  <c r="N47" i="12"/>
  <c r="N19" i="12"/>
  <c r="AG8" i="11"/>
  <c r="AE15" i="11"/>
  <c r="AD15" i="11" s="1"/>
  <c r="Z122" i="12"/>
  <c r="Z62" i="12"/>
  <c r="Z153" i="12"/>
  <c r="AN7" i="11"/>
  <c r="AP7" i="11" s="1"/>
  <c r="AQ7" i="11"/>
  <c r="AO15" i="11"/>
  <c r="AN15" i="11" s="1"/>
  <c r="AN8" i="11"/>
  <c r="AP8" i="11" s="1"/>
  <c r="AQ8" i="11"/>
  <c r="AD7" i="11"/>
  <c r="AF7" i="11" s="1"/>
  <c r="AG7" i="11"/>
  <c r="AD9" i="11"/>
  <c r="AF9" i="11" s="1"/>
  <c r="AG9" i="11"/>
  <c r="E13" i="10"/>
  <c r="D14" i="10"/>
  <c r="D18" i="10"/>
  <c r="AC122" i="12" l="1"/>
  <c r="AC183" i="12"/>
  <c r="F23" i="12"/>
  <c r="S166" i="12"/>
  <c r="F138" i="12"/>
  <c r="O138" i="12" s="1"/>
  <c r="F78" i="12"/>
  <c r="O78" i="12" s="1"/>
  <c r="F197" i="12"/>
  <c r="F79" i="12"/>
  <c r="O79" i="12" s="1"/>
  <c r="F170" i="12"/>
  <c r="K170" i="12" s="1"/>
  <c r="F43" i="12"/>
  <c r="K43" i="12" s="1"/>
  <c r="S133" i="12"/>
  <c r="S104" i="12"/>
  <c r="F77" i="12"/>
  <c r="O77" i="12" s="1"/>
  <c r="F48" i="12"/>
  <c r="O48" i="12" s="1"/>
  <c r="F80" i="12"/>
  <c r="K80" i="12" s="1"/>
  <c r="S17" i="12"/>
  <c r="F136" i="12"/>
  <c r="K136" i="12" s="1"/>
  <c r="G44" i="12"/>
  <c r="S135" i="12"/>
  <c r="F107" i="12"/>
  <c r="K107" i="12" s="1"/>
  <c r="G21" i="12"/>
  <c r="G19" i="12"/>
  <c r="F200" i="12"/>
  <c r="O200" i="12" s="1"/>
  <c r="F76" i="12"/>
  <c r="O76" i="12" s="1"/>
  <c r="G16" i="12"/>
  <c r="S103" i="12"/>
  <c r="G23" i="12"/>
  <c r="F109" i="12"/>
  <c r="O109" i="12" s="1"/>
  <c r="F195" i="12"/>
  <c r="K195" i="12" s="1"/>
  <c r="F49" i="12"/>
  <c r="O49" i="12" s="1"/>
  <c r="G45" i="12"/>
  <c r="F73" i="12"/>
  <c r="K73" i="12" s="1"/>
  <c r="F166" i="12"/>
  <c r="O166" i="12" s="1"/>
  <c r="S44" i="12"/>
  <c r="G22" i="12"/>
  <c r="F133" i="12"/>
  <c r="K133" i="12" s="1"/>
  <c r="F45" i="12"/>
  <c r="K45" i="12" s="1"/>
  <c r="F21" i="12"/>
  <c r="K21" i="12" s="1"/>
  <c r="S75" i="12"/>
  <c r="F193" i="12"/>
  <c r="G43" i="12"/>
  <c r="F110" i="12"/>
  <c r="K110" i="12" s="1"/>
  <c r="F140" i="12"/>
  <c r="O140" i="12" s="1"/>
  <c r="F165" i="12"/>
  <c r="K165" i="12" s="1"/>
  <c r="S134" i="12"/>
  <c r="G46" i="12"/>
  <c r="F135" i="12"/>
  <c r="O135" i="12" s="1"/>
  <c r="S74" i="12"/>
  <c r="F50" i="12"/>
  <c r="O50" i="12" s="1"/>
  <c r="F169" i="12"/>
  <c r="K169" i="12" s="1"/>
  <c r="G48" i="12"/>
  <c r="T17" i="12"/>
  <c r="S193" i="12"/>
  <c r="F108" i="12"/>
  <c r="O108" i="12" s="1"/>
  <c r="F137" i="12"/>
  <c r="O137" i="12" s="1"/>
  <c r="S165" i="12"/>
  <c r="F22" i="12"/>
  <c r="K22" i="12" s="1"/>
  <c r="F103" i="12"/>
  <c r="F199" i="12"/>
  <c r="O199" i="12" s="1"/>
  <c r="F139" i="12"/>
  <c r="O139" i="12" s="1"/>
  <c r="G17" i="12"/>
  <c r="G18" i="12"/>
  <c r="S194" i="12"/>
  <c r="F17" i="12"/>
  <c r="K17" i="12" s="1"/>
  <c r="F44" i="12"/>
  <c r="O44" i="12" s="1"/>
  <c r="F168" i="12"/>
  <c r="O168" i="12" s="1"/>
  <c r="F167" i="12"/>
  <c r="K167" i="12" s="1"/>
  <c r="S16" i="12"/>
  <c r="F196" i="12"/>
  <c r="K196" i="12" s="1"/>
  <c r="T18" i="12"/>
  <c r="S45" i="12"/>
  <c r="S18" i="12"/>
  <c r="G50" i="12"/>
  <c r="S43" i="12"/>
  <c r="F194" i="12"/>
  <c r="O194" i="12" s="1"/>
  <c r="S195" i="12"/>
  <c r="F198" i="12"/>
  <c r="O198" i="12" s="1"/>
  <c r="F106" i="12"/>
  <c r="O106" i="12" s="1"/>
  <c r="F171" i="12"/>
  <c r="O171" i="12" s="1"/>
  <c r="T16" i="12"/>
  <c r="G20" i="12"/>
  <c r="F16" i="12"/>
  <c r="K16" i="12" s="1"/>
  <c r="F104" i="12"/>
  <c r="K104" i="12" s="1"/>
  <c r="S73" i="12"/>
  <c r="F74" i="12"/>
  <c r="K74" i="12" s="1"/>
  <c r="S164" i="12"/>
  <c r="G47" i="12"/>
  <c r="F164" i="12"/>
  <c r="F75" i="12"/>
  <c r="K75" i="12" s="1"/>
  <c r="F105" i="12"/>
  <c r="O105" i="12" s="1"/>
  <c r="S105" i="12"/>
  <c r="G49" i="12"/>
  <c r="N52" i="12"/>
  <c r="N53" i="12" s="1"/>
  <c r="U69" i="6"/>
  <c r="S70" i="6"/>
  <c r="AB70" i="6"/>
  <c r="K48" i="4"/>
  <c r="L47" i="4"/>
  <c r="R70" i="6"/>
  <c r="AC70" i="6"/>
  <c r="Z70" i="6"/>
  <c r="K70" i="6"/>
  <c r="Q70" i="6"/>
  <c r="AF153" i="12"/>
  <c r="AQ15" i="11"/>
  <c r="AP15" i="11" s="1"/>
  <c r="AC153" i="12"/>
  <c r="AF182" i="12"/>
  <c r="AF62" i="12"/>
  <c r="AF122" i="12"/>
  <c r="AC62" i="12"/>
  <c r="J23" i="11"/>
  <c r="F47" i="12"/>
  <c r="F46" i="12"/>
  <c r="F20" i="12"/>
  <c r="F19" i="12"/>
  <c r="F18" i="12"/>
  <c r="I41" i="12"/>
  <c r="W33" i="12" s="1"/>
  <c r="W32" i="12"/>
  <c r="O197" i="12"/>
  <c r="K197" i="12"/>
  <c r="K23" i="12"/>
  <c r="O23" i="12"/>
  <c r="AG15" i="11"/>
  <c r="AF15" i="11" s="1"/>
  <c r="K79" i="12"/>
  <c r="O134" i="12"/>
  <c r="K134" i="12"/>
  <c r="I14" i="12"/>
  <c r="W6" i="12" s="1"/>
  <c r="W5" i="12"/>
  <c r="N25" i="12"/>
  <c r="K78" i="12"/>
  <c r="AC123" i="12"/>
  <c r="E14" i="10"/>
  <c r="G14" i="10" s="1"/>
  <c r="E18" i="10"/>
  <c r="G18" i="10" s="1"/>
  <c r="G13" i="10"/>
  <c r="K106" i="12" l="1"/>
  <c r="K108" i="12"/>
  <c r="K48" i="12"/>
  <c r="O80" i="12"/>
  <c r="K137" i="12"/>
  <c r="K138" i="12"/>
  <c r="K76" i="12"/>
  <c r="O22" i="12"/>
  <c r="O170" i="12"/>
  <c r="O136" i="12"/>
  <c r="O43" i="12"/>
  <c r="K50" i="12"/>
  <c r="K171" i="12"/>
  <c r="S20" i="12"/>
  <c r="R14" i="12" s="1"/>
  <c r="AI6" i="12" s="1"/>
  <c r="O21" i="12"/>
  <c r="K199" i="12"/>
  <c r="K49" i="12"/>
  <c r="O107" i="12"/>
  <c r="S202" i="12"/>
  <c r="R202" i="12" s="1"/>
  <c r="S142" i="12"/>
  <c r="AI122" i="12" s="1"/>
  <c r="F142" i="12"/>
  <c r="T134" i="12" s="1"/>
  <c r="K109" i="12"/>
  <c r="K140" i="12"/>
  <c r="K77" i="12"/>
  <c r="O16" i="12"/>
  <c r="O195" i="12"/>
  <c r="K105" i="12"/>
  <c r="K135" i="12"/>
  <c r="O196" i="12"/>
  <c r="O104" i="12"/>
  <c r="O45" i="12"/>
  <c r="K194" i="12"/>
  <c r="O167" i="12"/>
  <c r="G25" i="12"/>
  <c r="T20" i="12"/>
  <c r="S14" i="12" s="1"/>
  <c r="AI8" i="12" s="1"/>
  <c r="F202" i="12"/>
  <c r="T194" i="12" s="1"/>
  <c r="K198" i="12"/>
  <c r="F112" i="12"/>
  <c r="T105" i="12" s="1"/>
  <c r="S112" i="12"/>
  <c r="R112" i="12" s="1"/>
  <c r="O110" i="12"/>
  <c r="K139" i="12"/>
  <c r="O133" i="12"/>
  <c r="O142" i="12" s="1"/>
  <c r="O165" i="12"/>
  <c r="M41" i="12"/>
  <c r="Z33" i="12" s="1"/>
  <c r="F25" i="12"/>
  <c r="I25" i="12" s="1"/>
  <c r="K166" i="12"/>
  <c r="K168" i="12"/>
  <c r="F173" i="12"/>
  <c r="T166" i="12" s="1"/>
  <c r="O169" i="12"/>
  <c r="O17" i="12"/>
  <c r="K44" i="12"/>
  <c r="Z32" i="12"/>
  <c r="AC32" i="12" s="1"/>
  <c r="S173" i="12"/>
  <c r="AI155" i="12" s="1"/>
  <c r="M12" i="13" s="1"/>
  <c r="G52" i="12"/>
  <c r="S52" i="12"/>
  <c r="AI32" i="12" s="1"/>
  <c r="O193" i="12"/>
  <c r="K103" i="12"/>
  <c r="O73" i="12"/>
  <c r="O75" i="12"/>
  <c r="K200" i="12"/>
  <c r="K193" i="12"/>
  <c r="O103" i="12"/>
  <c r="F82" i="12"/>
  <c r="T73" i="12" s="1"/>
  <c r="O74" i="12"/>
  <c r="K164" i="12"/>
  <c r="S82" i="12"/>
  <c r="O164" i="12"/>
  <c r="AC33" i="12"/>
  <c r="U70" i="6"/>
  <c r="K18" i="12"/>
  <c r="O18" i="12"/>
  <c r="O19" i="12"/>
  <c r="K19" i="12"/>
  <c r="K20" i="12"/>
  <c r="O20" i="12"/>
  <c r="O46" i="12"/>
  <c r="K46" i="12"/>
  <c r="F52" i="12"/>
  <c r="T45" i="12" s="1"/>
  <c r="K47" i="12"/>
  <c r="O47" i="12"/>
  <c r="N26" i="12"/>
  <c r="M14" i="12"/>
  <c r="Z6" i="12" s="1"/>
  <c r="Z5" i="12"/>
  <c r="R95" i="12"/>
  <c r="I4" i="13"/>
  <c r="H21" i="11"/>
  <c r="F21" i="11"/>
  <c r="F30" i="11" s="1"/>
  <c r="E30" i="11" s="1"/>
  <c r="K82" i="12" l="1"/>
  <c r="W64" i="12" s="1"/>
  <c r="R52" i="12"/>
  <c r="R35" i="12"/>
  <c r="AI33" i="12" s="1"/>
  <c r="AL33" i="12" s="1"/>
  <c r="AI34" i="12"/>
  <c r="M6" i="13" s="1"/>
  <c r="AI182" i="12"/>
  <c r="AL182" i="12" s="1"/>
  <c r="R125" i="12"/>
  <c r="AI123" i="12" s="1"/>
  <c r="AL123" i="12" s="1"/>
  <c r="R142" i="12"/>
  <c r="T195" i="12"/>
  <c r="R20" i="12"/>
  <c r="R185" i="12"/>
  <c r="AI183" i="12" s="1"/>
  <c r="AL183" i="12" s="1"/>
  <c r="AI5" i="12"/>
  <c r="M4" i="13" s="1"/>
  <c r="T103" i="12"/>
  <c r="AI153" i="12"/>
  <c r="AL153" i="12" s="1"/>
  <c r="R173" i="12"/>
  <c r="K173" i="12"/>
  <c r="R156" i="12"/>
  <c r="AI154" i="12" s="1"/>
  <c r="AL154" i="12" s="1"/>
  <c r="AI124" i="12"/>
  <c r="M11" i="13" s="1"/>
  <c r="O202" i="12"/>
  <c r="Z184" i="12" s="1"/>
  <c r="J15" i="13" s="1"/>
  <c r="T104" i="12"/>
  <c r="M25" i="12"/>
  <c r="O112" i="12"/>
  <c r="M112" i="12" s="1"/>
  <c r="N101" i="12" s="1"/>
  <c r="K112" i="12"/>
  <c r="I112" i="12" s="1"/>
  <c r="J101" i="12" s="1"/>
  <c r="K142" i="12"/>
  <c r="I142" i="12" s="1"/>
  <c r="J131" i="12" s="1"/>
  <c r="W125" i="12" s="1"/>
  <c r="T133" i="12"/>
  <c r="AI10" i="12"/>
  <c r="T135" i="12"/>
  <c r="T193" i="12"/>
  <c r="T74" i="12"/>
  <c r="T164" i="12"/>
  <c r="T75" i="12"/>
  <c r="T165" i="12"/>
  <c r="AI7" i="12"/>
  <c r="M5" i="13" s="1"/>
  <c r="K202" i="12"/>
  <c r="W184" i="12" s="1"/>
  <c r="O173" i="12"/>
  <c r="Z155" i="12" s="1"/>
  <c r="O82" i="12"/>
  <c r="M82" i="12" s="1"/>
  <c r="N71" i="12" s="1"/>
  <c r="Z65" i="12" s="1"/>
  <c r="Z67" i="12" s="1"/>
  <c r="K52" i="12"/>
  <c r="J41" i="12" s="1"/>
  <c r="W35" i="12" s="1"/>
  <c r="W37" i="12" s="1"/>
  <c r="AI62" i="12"/>
  <c r="AI64" i="12"/>
  <c r="M7" i="13" s="1"/>
  <c r="R65" i="12"/>
  <c r="AI63" i="12" s="1"/>
  <c r="AL63" i="12" s="1"/>
  <c r="R82" i="12"/>
  <c r="O52" i="12"/>
  <c r="N41" i="12" s="1"/>
  <c r="Z35" i="12" s="1"/>
  <c r="Z37" i="12" s="1"/>
  <c r="T43" i="12"/>
  <c r="O25" i="12"/>
  <c r="Z7" i="12" s="1"/>
  <c r="J5" i="13" s="1"/>
  <c r="K25" i="12"/>
  <c r="J14" i="12" s="1"/>
  <c r="W8" i="12" s="1"/>
  <c r="I82" i="12"/>
  <c r="J71" i="12" s="1"/>
  <c r="W65" i="12" s="1"/>
  <c r="M52" i="12"/>
  <c r="I52" i="12"/>
  <c r="T44" i="12"/>
  <c r="AF32" i="12"/>
  <c r="AL32" i="12"/>
  <c r="W155" i="12"/>
  <c r="I173" i="12"/>
  <c r="J162" i="12" s="1"/>
  <c r="W156" i="12" s="1"/>
  <c r="W124" i="12"/>
  <c r="M142" i="12"/>
  <c r="N131" i="12" s="1"/>
  <c r="Z125" i="12" s="1"/>
  <c r="Z127" i="12" s="1"/>
  <c r="Z124" i="12"/>
  <c r="I7" i="13"/>
  <c r="W66" i="12"/>
  <c r="J4" i="13"/>
  <c r="AC5" i="12"/>
  <c r="AC6" i="12"/>
  <c r="AI36" i="12"/>
  <c r="AI126" i="12"/>
  <c r="AL122" i="12"/>
  <c r="J21" i="11"/>
  <c r="J30" i="11" s="1"/>
  <c r="K30" i="11" s="1"/>
  <c r="H30" i="11"/>
  <c r="G30" i="11" s="1"/>
  <c r="T202" i="12" l="1"/>
  <c r="S185" i="12" s="1"/>
  <c r="AI185" i="12" s="1"/>
  <c r="O143" i="12"/>
  <c r="T112" i="12"/>
  <c r="S95" i="12" s="1"/>
  <c r="AI157" i="12"/>
  <c r="T173" i="12"/>
  <c r="S156" i="12" s="1"/>
  <c r="AI156" i="12" s="1"/>
  <c r="AI158" i="12" s="1"/>
  <c r="AC65" i="12"/>
  <c r="AC67" i="12" s="1"/>
  <c r="O113" i="12"/>
  <c r="AI187" i="12"/>
  <c r="M202" i="12"/>
  <c r="N191" i="12" s="1"/>
  <c r="Z185" i="12" s="1"/>
  <c r="Z187" i="12" s="1"/>
  <c r="Z186" i="12"/>
  <c r="T52" i="12"/>
  <c r="S35" i="12" s="1"/>
  <c r="AI35" i="12" s="1"/>
  <c r="AI37" i="12" s="1"/>
  <c r="T142" i="12"/>
  <c r="S125" i="12" s="1"/>
  <c r="AI125" i="12" s="1"/>
  <c r="AI127" i="12" s="1"/>
  <c r="T82" i="12"/>
  <c r="S65" i="12" s="1"/>
  <c r="AI65" i="12" s="1"/>
  <c r="AL65" i="12" s="1"/>
  <c r="AL67" i="12" s="1"/>
  <c r="Z64" i="12"/>
  <c r="AC64" i="12" s="1"/>
  <c r="AF64" i="12" s="1"/>
  <c r="L7" i="13" s="1"/>
  <c r="N83" i="12"/>
  <c r="W67" i="12"/>
  <c r="I15" i="13"/>
  <c r="AC184" i="12"/>
  <c r="K15" i="13" s="1"/>
  <c r="W186" i="12"/>
  <c r="O174" i="12"/>
  <c r="N203" i="12"/>
  <c r="M173" i="12"/>
  <c r="N162" i="12" s="1"/>
  <c r="Z156" i="12" s="1"/>
  <c r="Z158" i="12" s="1"/>
  <c r="I202" i="12"/>
  <c r="J191" i="12" s="1"/>
  <c r="W185" i="12" s="1"/>
  <c r="N14" i="12"/>
  <c r="Z8" i="12" s="1"/>
  <c r="Z10" i="12" s="1"/>
  <c r="AI66" i="12"/>
  <c r="AL62" i="12"/>
  <c r="Z34" i="12"/>
  <c r="J6" i="13" s="1"/>
  <c r="AI184" i="12"/>
  <c r="AI186" i="12" s="1"/>
  <c r="W34" i="12"/>
  <c r="W9" i="12"/>
  <c r="Z9" i="12"/>
  <c r="AL6" i="12"/>
  <c r="AC125" i="12"/>
  <c r="W127" i="12"/>
  <c r="J11" i="13"/>
  <c r="Z126" i="12"/>
  <c r="W10" i="12"/>
  <c r="W158" i="12"/>
  <c r="K4" i="13"/>
  <c r="AL5" i="12"/>
  <c r="AC35" i="12"/>
  <c r="J12" i="13"/>
  <c r="Z157" i="12"/>
  <c r="I11" i="13"/>
  <c r="AC124" i="12"/>
  <c r="W126" i="12"/>
  <c r="AC155" i="12"/>
  <c r="I12" i="13"/>
  <c r="W157" i="12"/>
  <c r="I30" i="11"/>
  <c r="AF5" i="12"/>
  <c r="L4" i="13" s="1"/>
  <c r="AI67" i="12" l="1"/>
  <c r="AC66" i="12"/>
  <c r="AC186" i="12"/>
  <c r="AF184" i="12"/>
  <c r="L15" i="13" s="1"/>
  <c r="K7" i="13"/>
  <c r="AL64" i="12"/>
  <c r="N7" i="13" s="1"/>
  <c r="O7" i="13" s="1"/>
  <c r="AL184" i="12"/>
  <c r="N15" i="13" s="1"/>
  <c r="O15" i="13" s="1"/>
  <c r="Z66" i="12"/>
  <c r="J7" i="13"/>
  <c r="W187" i="12"/>
  <c r="AC185" i="12"/>
  <c r="AC156" i="12"/>
  <c r="AL156" i="12" s="1"/>
  <c r="AL158" i="12" s="1"/>
  <c r="M15" i="13"/>
  <c r="W36" i="12"/>
  <c r="I6" i="13"/>
  <c r="AC34" i="12"/>
  <c r="Z36" i="12"/>
  <c r="AC8" i="12"/>
  <c r="AL8" i="12" s="1"/>
  <c r="AL10" i="12" s="1"/>
  <c r="AC7" i="12"/>
  <c r="AC9" i="12" s="1"/>
  <c r="I5" i="13"/>
  <c r="N4" i="13"/>
  <c r="O4" i="13" s="1"/>
  <c r="AL155" i="12"/>
  <c r="AF155" i="12"/>
  <c r="L12" i="13" s="1"/>
  <c r="K12" i="13"/>
  <c r="AC157" i="12"/>
  <c r="K11" i="13"/>
  <c r="AL124" i="12"/>
  <c r="AF124" i="12"/>
  <c r="L11" i="13" s="1"/>
  <c r="AC126" i="12"/>
  <c r="AL125" i="12"/>
  <c r="AL127" i="12" s="1"/>
  <c r="AC127" i="12"/>
  <c r="AL35" i="12"/>
  <c r="AL37" i="12" s="1"/>
  <c r="AC37" i="12"/>
  <c r="AI9" i="12"/>
  <c r="G46" i="1"/>
  <c r="G67" i="6" s="1"/>
  <c r="H46" i="1"/>
  <c r="H67" i="6" s="1"/>
  <c r="I46" i="1"/>
  <c r="I67" i="6" s="1"/>
  <c r="J46" i="1"/>
  <c r="J67" i="6" s="1"/>
  <c r="AL186" i="12" l="1"/>
  <c r="AC10" i="12"/>
  <c r="AC158" i="12"/>
  <c r="AL66" i="12"/>
  <c r="AL185" i="12"/>
  <c r="AL187" i="12" s="1"/>
  <c r="AC187" i="12"/>
  <c r="AF34" i="12"/>
  <c r="L6" i="13" s="1"/>
  <c r="K6" i="13"/>
  <c r="AL34" i="12"/>
  <c r="AC36" i="12"/>
  <c r="K5" i="13"/>
  <c r="AF7" i="12"/>
  <c r="L5" i="13" s="1"/>
  <c r="AL7" i="12"/>
  <c r="N5" i="13" s="1"/>
  <c r="O5" i="13" s="1"/>
  <c r="AG70" i="6"/>
  <c r="AG68" i="6"/>
  <c r="AG67" i="6"/>
  <c r="AG69" i="6"/>
  <c r="N11" i="13"/>
  <c r="O11" i="13" s="1"/>
  <c r="AL126" i="12"/>
  <c r="AE68" i="6"/>
  <c r="AE69" i="6"/>
  <c r="AE67" i="6"/>
  <c r="R67" i="6"/>
  <c r="AE70" i="6"/>
  <c r="AD68" i="6"/>
  <c r="AD70" i="6"/>
  <c r="AD67" i="6"/>
  <c r="AD69" i="6"/>
  <c r="S67" i="6"/>
  <c r="M67" i="6"/>
  <c r="K67" i="6"/>
  <c r="N12" i="13"/>
  <c r="O12" i="13" s="1"/>
  <c r="AL157" i="12"/>
  <c r="AF70" i="6"/>
  <c r="AF67" i="6"/>
  <c r="AF68" i="6"/>
  <c r="AF69" i="6"/>
  <c r="T67" i="6"/>
  <c r="N6" i="13" l="1"/>
  <c r="O6" i="13" s="1"/>
  <c r="AL36" i="12"/>
  <c r="AL9" i="12"/>
  <c r="AH68" i="6"/>
  <c r="AH67" i="6"/>
  <c r="AI67" i="6" s="1"/>
  <c r="L67" i="6"/>
  <c r="AH69" i="6"/>
  <c r="AH70" i="6"/>
  <c r="W67" i="6"/>
  <c r="U67" i="6"/>
  <c r="V67" i="6" s="1"/>
</calcChain>
</file>

<file path=xl/sharedStrings.xml><?xml version="1.0" encoding="utf-8"?>
<sst xmlns="http://schemas.openxmlformats.org/spreadsheetml/2006/main" count="1884" uniqueCount="285">
  <si>
    <t>Oolio Group TTV by BU by Card Type – Feb-25 - Adyen Advanced</t>
  </si>
  <si>
    <t>GTV</t>
  </si>
  <si>
    <t>Amex/JCB</t>
  </si>
  <si>
    <t>EFTPOS</t>
  </si>
  <si>
    <t>VC/MC Domestic Credit</t>
  </si>
  <si>
    <t>VC/MC Domestic Debit</t>
  </si>
  <si>
    <t>VC/MC Premium Credit</t>
  </si>
  <si>
    <t>VC/MC Premium Debit</t>
  </si>
  <si>
    <t>VC/MC Int. Credit</t>
  </si>
  <si>
    <t>VC/MC Int.Debit</t>
  </si>
  <si>
    <t>Total</t>
  </si>
  <si>
    <t>% Of Total TTV</t>
  </si>
  <si>
    <t>Business Unit</t>
  </si>
  <si>
    <t>TTV ($)</t>
  </si>
  <si>
    <t>%</t>
  </si>
  <si>
    <t>Bepoz</t>
  </si>
  <si>
    <t>% of TTV</t>
  </si>
  <si>
    <t>Deliverit</t>
  </si>
  <si>
    <t>Ordermate</t>
  </si>
  <si>
    <t>SwiftPOS</t>
  </si>
  <si>
    <t>SwiftPOS Reseller</t>
  </si>
  <si>
    <t>IdealPOS</t>
  </si>
  <si>
    <t>IdealPOS Reseller</t>
  </si>
  <si>
    <t>Oolio Platform</t>
  </si>
  <si>
    <t>Oolio Pay</t>
  </si>
  <si>
    <t>Other</t>
  </si>
  <si>
    <t>VC/MC International Credit</t>
  </si>
  <si>
    <t>VC/MC International Debit</t>
  </si>
  <si>
    <t>OTHER</t>
  </si>
  <si>
    <t>SwiftPOS - EU</t>
  </si>
  <si>
    <t>SwiftPOS - UK</t>
  </si>
  <si>
    <t>Bepoz - NZ</t>
  </si>
  <si>
    <t>Bepoz - UK</t>
  </si>
  <si>
    <t>GolfboxPay</t>
  </si>
  <si>
    <t>IdealPOS Reseller - NZ</t>
  </si>
  <si>
    <t>Oolio Platform - UK</t>
  </si>
  <si>
    <t>Oolio Group TTV by BU by Card Type – Feb-25 - Adyen Basic</t>
  </si>
  <si>
    <t>Oolio Group TTV by BU by Card Type – Feb-25 -Wpay</t>
  </si>
  <si>
    <t>Credit VISA</t>
  </si>
  <si>
    <t>Credit Master</t>
  </si>
  <si>
    <t>Debit VISA</t>
  </si>
  <si>
    <t>Debit Master</t>
  </si>
  <si>
    <t>Oolio Group MSF by BU by Card Type – Feb-25 - Adyen Advanced</t>
  </si>
  <si>
    <t>MSF</t>
  </si>
  <si>
    <t>VC/MC Int. Debit</t>
  </si>
  <si>
    <t>MSF ($)</t>
  </si>
  <si>
    <t>MSF ( Ex GST)</t>
  </si>
  <si>
    <t>% of MSF</t>
  </si>
  <si>
    <t>Oolio Group MSF by BU by Card Type – Feb-25 - Adyen Basic</t>
  </si>
  <si>
    <t>Oolio Group MSF by BU by Card Type – Feb-25 - Wpay</t>
  </si>
  <si>
    <t>Oolio Group COA by BU by Card Type – Feb-25 - Adyen Advanced</t>
  </si>
  <si>
    <t>COA</t>
  </si>
  <si>
    <t>COA (ex GST)</t>
  </si>
  <si>
    <t>COA Ex GST)</t>
  </si>
  <si>
    <t>% of COA</t>
  </si>
  <si>
    <t>COGS%</t>
  </si>
  <si>
    <t>SOURCE : Cost of Acceptance report =work in progress</t>
  </si>
  <si>
    <t>Oolio Group COA by BU by Card Type – Feb-25 - Adyen Basic</t>
  </si>
  <si>
    <t>Oolio Group COA by BU by Card Type – Feb-25 -Wpay</t>
  </si>
  <si>
    <t>Oolio Group GP by BU by Card Type – Feb-25 - Adyen Advanced</t>
  </si>
  <si>
    <t xml:space="preserve">Gross Profit </t>
  </si>
  <si>
    <t>GP Ex (GST)</t>
  </si>
  <si>
    <t>GP (%)</t>
  </si>
  <si>
    <t>% of Total GP</t>
  </si>
  <si>
    <t>GP%</t>
  </si>
  <si>
    <t>Oolio Group GP by BU by Card Type – Feb-25 - Adyen Basic</t>
  </si>
  <si>
    <t>Oolio Group GP by BU by Card Type – Feb-25 -Wpay</t>
  </si>
  <si>
    <t>GP ($) by BU, by Card Type - Feb-25  Adyen Advanced</t>
  </si>
  <si>
    <t>GP($) by BU by Card Type Group</t>
  </si>
  <si>
    <t>GTV - GP</t>
  </si>
  <si>
    <t>EFTPOS &amp; Debit</t>
  </si>
  <si>
    <t>Credit Cards</t>
  </si>
  <si>
    <t>VC/MC Int.Credit &amp; Debit</t>
  </si>
  <si>
    <t>GTV - GP Bips</t>
  </si>
  <si>
    <t>Bepoz - GTV</t>
  </si>
  <si>
    <t>MSF Rate</t>
  </si>
  <si>
    <t>COGS</t>
  </si>
  <si>
    <t>GP</t>
  </si>
  <si>
    <t>GP -Bips</t>
  </si>
  <si>
    <t>DeliverIT</t>
  </si>
  <si>
    <t xml:space="preserve">SwiftPOS </t>
  </si>
  <si>
    <t>Total TTV</t>
  </si>
  <si>
    <t>GP ($) by BU, by Card Type - Feb-25  Adyen basic</t>
  </si>
  <si>
    <t>Annualized then blended weighted Monthly</t>
  </si>
  <si>
    <t xml:space="preserve">TTV ($) </t>
  </si>
  <si>
    <t>ATV ($)</t>
  </si>
  <si>
    <t>MSF (ex GST)</t>
  </si>
  <si>
    <t xml:space="preserve">COA </t>
  </si>
  <si>
    <t xml:space="preserve">Gross GP </t>
  </si>
  <si>
    <t>Pin Disc</t>
  </si>
  <si>
    <t xml:space="preserve">ADV+ Disc. </t>
  </si>
  <si>
    <t xml:space="preserve">Saas  Disc. </t>
  </si>
  <si>
    <t>Total Disc.</t>
  </si>
  <si>
    <t>Comms</t>
  </si>
  <si>
    <t xml:space="preserve">Net GP </t>
  </si>
  <si>
    <r>
      <t xml:space="preserve">MSF Bips </t>
    </r>
    <r>
      <rPr>
        <b/>
        <sz val="8"/>
        <color theme="0"/>
        <rFont val="Aptos Narrow"/>
        <family val="2"/>
      </rPr>
      <t>(ex GST)</t>
    </r>
  </si>
  <si>
    <t>COA  (Bips)</t>
  </si>
  <si>
    <t>Gross GP  (Bips)</t>
  </si>
  <si>
    <t>Comm Bips</t>
  </si>
  <si>
    <t>SCENARIO : 1</t>
  </si>
  <si>
    <t>Surcharge Ban on EFTPOS and Debit Scheme Cards, MSF on Schemes the same</t>
  </si>
  <si>
    <t>Card Mix Weighting</t>
  </si>
  <si>
    <t>MSF Rate Bips</t>
  </si>
  <si>
    <t>COA Rate Bips</t>
  </si>
  <si>
    <t>Incentives Bips</t>
  </si>
  <si>
    <t>MSF Revenue</t>
  </si>
  <si>
    <t>GP  Before Incentives</t>
  </si>
  <si>
    <t>GP Rate  %</t>
  </si>
  <si>
    <t>Incentives</t>
  </si>
  <si>
    <t>GP After Incentives</t>
  </si>
  <si>
    <t>Benchmark</t>
  </si>
  <si>
    <t>Assumption (%)</t>
  </si>
  <si>
    <t xml:space="preserve">Assumption </t>
  </si>
  <si>
    <t>SaaS</t>
  </si>
  <si>
    <t xml:space="preserve">Bench Mark </t>
  </si>
  <si>
    <t>BA+</t>
  </si>
  <si>
    <t>Terminal Rental</t>
  </si>
  <si>
    <t>Scenario 1</t>
  </si>
  <si>
    <t>Net New Actives</t>
  </si>
  <si>
    <t>Variance</t>
  </si>
  <si>
    <t>Bips</t>
  </si>
  <si>
    <t>Advance</t>
  </si>
  <si>
    <t>Basic</t>
  </si>
  <si>
    <t>Wpay</t>
  </si>
  <si>
    <t>Amex</t>
  </si>
  <si>
    <t>VC/MC  PemiumCredit</t>
  </si>
  <si>
    <t>VC/MC  Int. Credit</t>
  </si>
  <si>
    <t>VC/MC int.  Debit</t>
  </si>
  <si>
    <t>SCENARIO : 2</t>
  </si>
  <si>
    <t>Surcharge Ban on EFTPOS &amp; Scheme Debits but Increase MSF on Credit Cards</t>
  </si>
  <si>
    <t>Scenario 2</t>
  </si>
  <si>
    <t>SCENARIO :3</t>
  </si>
  <si>
    <t>As per Scenario 1 and 2, but RBA places caps on Interchange fee. Currently sitting at 80 bips</t>
  </si>
  <si>
    <t xml:space="preserve">GP </t>
  </si>
  <si>
    <t>Assumption</t>
  </si>
  <si>
    <t>SCENARIO :4</t>
  </si>
  <si>
    <t>SCENARIO :5</t>
  </si>
  <si>
    <t>Scenario 3 with  % Card Mix move to Debit Cards</t>
  </si>
  <si>
    <t>SCENARIO :6</t>
  </si>
  <si>
    <t>Scenario 5 with % Churn</t>
  </si>
  <si>
    <t>SCENARIO :7</t>
  </si>
  <si>
    <t>Possible RBA Recommendations on Surcharging</t>
  </si>
  <si>
    <t>RBA Scenario</t>
  </si>
  <si>
    <t>No.</t>
  </si>
  <si>
    <t>.</t>
  </si>
  <si>
    <t>Description</t>
  </si>
  <si>
    <t>Impact</t>
  </si>
  <si>
    <t>GP After Incentives  %</t>
  </si>
  <si>
    <t>Scenario</t>
  </si>
  <si>
    <t>No change to Surcharging  - ( Benchmark)</t>
  </si>
  <si>
    <t>No change - Comparative Benchmark</t>
  </si>
  <si>
    <t>Scenario 0</t>
  </si>
  <si>
    <t>Surcharge Ban on EFTPOS and Domestic Debit Cards.  Oolio to keep MSF &amp; Surcharge Rate at the existing rate</t>
  </si>
  <si>
    <t>EFTPOS MSF will now need to compete on price.</t>
  </si>
  <si>
    <t>100% Ban on Surcharging on EFTPOS and Domestic Debit Cards &amp; ability to have higher surcharge on Credit Cards</t>
  </si>
  <si>
    <t>Compete on Price for EFTPOS and Debit Cards but increase MSF on Credit Cards as this can be surcharged</t>
  </si>
  <si>
    <t>Reduce COA on Credit Cards by upto 30 bips on premium and Int. Cards</t>
  </si>
  <si>
    <t>Scenario 3</t>
  </si>
  <si>
    <t xml:space="preserve">As per Scenario 1,  2 and 3 but RBA places banning bundling </t>
  </si>
  <si>
    <t>Effectively compete on price for every card type and remove incentives</t>
  </si>
  <si>
    <t>Scenario 4</t>
  </si>
  <si>
    <t>Consequential Scenario Impacts from Surcharge Bans</t>
  </si>
  <si>
    <t>Scenario 3 with % Card Mix move to Debit Cards from Credit Card</t>
  </si>
  <si>
    <t>Card Mix may alter towards EFTPOS &amp; Debt Cards and away from Credit Cards</t>
  </si>
  <si>
    <t>Scenario 5</t>
  </si>
  <si>
    <t>Scenario 5 with % Churn -</t>
  </si>
  <si>
    <t>May lose Pay merchants on Price as we cant compete on price.</t>
  </si>
  <si>
    <t>Scenario 6</t>
  </si>
  <si>
    <t>Mitigation Strategies</t>
  </si>
  <si>
    <t>Strategy</t>
  </si>
  <si>
    <t>Reduce the Incentives offer where bundling is still allowed</t>
  </si>
  <si>
    <t>Reduce Incentives to mitigate lower MSF on Debit Cards</t>
  </si>
  <si>
    <t>Scenario 7</t>
  </si>
  <si>
    <t xml:space="preserve">Shift some Merchants from Ayden to Wpay </t>
  </si>
  <si>
    <t>Wpay having the lower cost base will help mitigate lower MSF rate on Debit Cards</t>
  </si>
  <si>
    <t>Scenario 8</t>
  </si>
  <si>
    <t>Moving the processing of ALL Debit Cards</t>
  </si>
  <si>
    <t>Small Business Package as well as EFTPOS rails doesn’t incur Scheme fees so processing costs are 2 - 3 cents per tx.</t>
  </si>
  <si>
    <t>Scenario 9</t>
  </si>
  <si>
    <t>Custom Scenario</t>
  </si>
  <si>
    <t>Custom Scenrio</t>
  </si>
  <si>
    <t>KPI</t>
  </si>
  <si>
    <t>Yes</t>
  </si>
  <si>
    <t>Acquirer</t>
  </si>
  <si>
    <t>(All)</t>
  </si>
  <si>
    <t>Display</t>
  </si>
  <si>
    <t>Adyen Manage and Balance</t>
  </si>
  <si>
    <t>Last 6 months</t>
  </si>
  <si>
    <t>Adyen and Adyen Balance</t>
  </si>
  <si>
    <t>Month.</t>
  </si>
  <si>
    <t>33 - Sept 24</t>
  </si>
  <si>
    <t>34 - Oct 24</t>
  </si>
  <si>
    <t>35 - Nov 24</t>
  </si>
  <si>
    <t>36 - Dec 24</t>
  </si>
  <si>
    <t>37 - Jan 25</t>
  </si>
  <si>
    <t>38 - Feb 25</t>
  </si>
  <si>
    <t>Avg.</t>
  </si>
  <si>
    <t>Merchant Count</t>
  </si>
  <si>
    <t>MC/VS %</t>
  </si>
  <si>
    <t>Turnover in '000</t>
  </si>
  <si>
    <t>Eftpos %</t>
  </si>
  <si>
    <t>Avg. Ticket size</t>
  </si>
  <si>
    <t>Amex %</t>
  </si>
  <si>
    <t>Gross Margin %</t>
  </si>
  <si>
    <t>Avg Sales Bps</t>
  </si>
  <si>
    <t>Eftpos cost in Bps</t>
  </si>
  <si>
    <t>Margin in Bps - Ex GST</t>
  </si>
  <si>
    <t>MC &amp; VS cost in Bps - Ex GST</t>
  </si>
  <si>
    <t>Amex cost in Bps - Ex GST</t>
  </si>
  <si>
    <t>Total cost Bps - Ex GST</t>
  </si>
  <si>
    <t>MSF Revenue Ex GST in '000</t>
  </si>
  <si>
    <t>Cost in '000 Ex GST</t>
  </si>
  <si>
    <t>Last 6 Months</t>
  </si>
  <si>
    <t>WPAY KPI</t>
  </si>
  <si>
    <t>Month</t>
  </si>
  <si>
    <t>21 - Sept 24</t>
  </si>
  <si>
    <t>22 - Oct 24</t>
  </si>
  <si>
    <t>23 - Nov 24</t>
  </si>
  <si>
    <t>24 - Dec 24</t>
  </si>
  <si>
    <t>25 - Jan 25</t>
  </si>
  <si>
    <t>25 - Feb 25</t>
  </si>
  <si>
    <t>Avg</t>
  </si>
  <si>
    <t>Avg Sales Bps - Ex GST (Excluding Deliverit MOR)</t>
  </si>
  <si>
    <t>Avg Sales Bps - Ex GST (MoR)</t>
  </si>
  <si>
    <t>Total cost bps - Ex GST</t>
  </si>
  <si>
    <t>Total KPI (WPAY &amp; Adyen)</t>
  </si>
  <si>
    <t>26 - Feb 25</t>
  </si>
  <si>
    <t>Avg Sales in BPs - EX GST</t>
  </si>
  <si>
    <t>Adyen Advanced</t>
  </si>
  <si>
    <t>Adyen Basic</t>
  </si>
  <si>
    <t>Blended Adyen</t>
  </si>
  <si>
    <t>TTV / Merchant</t>
  </si>
  <si>
    <t>No. Tx</t>
  </si>
  <si>
    <t>Margin $</t>
  </si>
  <si>
    <t>Margin ($)</t>
  </si>
  <si>
    <t>Eftpos TTV</t>
  </si>
  <si>
    <t>Eftpos Revenue ($)</t>
  </si>
  <si>
    <t>Eftpos Revenue (%)</t>
  </si>
  <si>
    <t>Eftpos cost in ($)</t>
  </si>
  <si>
    <t>Eftpos cost in (%)</t>
  </si>
  <si>
    <t>MC &amp; VS cost ($) - Ex GST</t>
  </si>
  <si>
    <t>Amex  TTV ($)</t>
  </si>
  <si>
    <t>Amex Revenue  TTV ($)</t>
  </si>
  <si>
    <t>Amex Revenue (%) of TTV</t>
  </si>
  <si>
    <t>Amex cost in ($) - Ex GST</t>
  </si>
  <si>
    <t>Table : 1 A</t>
  </si>
  <si>
    <t>Card Mix by Card Type  Actual Feb 2024 - Adyen Advanced</t>
  </si>
  <si>
    <t>Table : 1 B</t>
  </si>
  <si>
    <t>Card Mix Summarized by Card Group Actual  Feb 2024</t>
  </si>
  <si>
    <t>Table : 1C</t>
  </si>
  <si>
    <t>Card Mix Summarized by Schemes  Feb 2024</t>
  </si>
  <si>
    <t>Card Mix</t>
  </si>
  <si>
    <t>TTV</t>
  </si>
  <si>
    <t>MSF Bips</t>
  </si>
  <si>
    <t>MSR Rev</t>
  </si>
  <si>
    <t>COA Bips</t>
  </si>
  <si>
    <t>GP Bips</t>
  </si>
  <si>
    <t>MC/VC Debit</t>
  </si>
  <si>
    <t>VC/MC Blended</t>
  </si>
  <si>
    <t>MC/VC Credit</t>
  </si>
  <si>
    <t>Mix between Advanced and Basic is materially similar</t>
  </si>
  <si>
    <t>Merchant Information</t>
  </si>
  <si>
    <t>Deal Evaluation</t>
  </si>
  <si>
    <t>USE CARD MIX?</t>
  </si>
  <si>
    <t>per tx</t>
  </si>
  <si>
    <t xml:space="preserve">ATV </t>
  </si>
  <si>
    <t xml:space="preserve">bips </t>
  </si>
  <si>
    <t>Monthly TTV [TTV]</t>
  </si>
  <si>
    <t>Revenue [$]</t>
  </si>
  <si>
    <t>ATV [$]</t>
  </si>
  <si>
    <t>Total Cost [$]</t>
  </si>
  <si>
    <t>Gross Profit [$]</t>
  </si>
  <si>
    <t>MSF Rate ex GST [%]</t>
  </si>
  <si>
    <t>No. of Terminals</t>
  </si>
  <si>
    <t>Software Subsidy</t>
  </si>
  <si>
    <t xml:space="preserve">$-   </t>
  </si>
  <si>
    <t>Other Subsidy</t>
  </si>
  <si>
    <t>COA by Card</t>
  </si>
  <si>
    <t>Rev By Card</t>
  </si>
  <si>
    <t>Bucket</t>
  </si>
  <si>
    <t>AMEX</t>
  </si>
  <si>
    <t>CREDIT - Visa</t>
  </si>
  <si>
    <t>CREDIT - Mastercard</t>
  </si>
  <si>
    <t>DEBIT - Visa</t>
  </si>
  <si>
    <t>DEBIT - Mastercard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</si>
</sst>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* #,##0_-;\-* #,##0_-;_-* &quot;-&quot;??_-;_-@_-"/>
    <numFmt numFmtId="166" formatCode="_([$$-409]* #,##0.00_);_([$$-409]* \(#,##0.00\);_([$$-409]* &quot;-&quot;??_);_(@_)"/>
    <numFmt numFmtId="167" formatCode="#,##0.0"/>
    <numFmt numFmtId="168" formatCode="0.0%"/>
    <numFmt numFmtId="169" formatCode="&quot;$&quot;#,##0"/>
    <numFmt numFmtId="170" formatCode="_-&quot;$&quot;* #,##0.0000_-;\-&quot;$&quot;* #,##0.0000_-;_-&quot;$&quot;* &quot;-&quot;??_-;_-@_-"/>
  </numFmts>
  <fonts count="61" x14ac:knownFonts="1">
    <font>
      <sz val="11"/>
      <name val="Aptos Narrow"/>
    </font>
    <font>
      <sz val="11"/>
      <color theme="1"/>
      <name val="Aptos Narrow"/>
      <family val="2"/>
      <scheme val="minor"/>
    </font>
    <font>
      <b/>
      <sz val="11"/>
      <name val="Aptos Narrow"/>
      <family val="2"/>
    </font>
    <font>
      <sz val="11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  <font>
      <b/>
      <sz val="10"/>
      <color theme="0"/>
      <name val="Aptos Narrow"/>
      <family val="2"/>
    </font>
    <font>
      <sz val="10"/>
      <color theme="0"/>
      <name val="Aptos Narrow"/>
      <family val="2"/>
    </font>
    <font>
      <b/>
      <sz val="11"/>
      <color theme="0"/>
      <name val="Aptos Narrow"/>
      <family val="2"/>
    </font>
    <font>
      <sz val="11"/>
      <color theme="0"/>
      <name val="Aptos Narrow"/>
      <family val="2"/>
    </font>
    <font>
      <b/>
      <sz val="16"/>
      <color theme="0"/>
      <name val="Aptos Narrow"/>
      <family val="2"/>
    </font>
    <font>
      <b/>
      <sz val="16"/>
      <color rgb="FF222222"/>
      <name val="Calibri"/>
      <family val="2"/>
    </font>
    <font>
      <sz val="16"/>
      <name val="Aptos Narrow"/>
      <family val="2"/>
    </font>
    <font>
      <b/>
      <sz val="8"/>
      <color theme="0"/>
      <name val="Aptos Narrow"/>
      <family val="2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6100"/>
      <name val="Aptos Narrow"/>
      <family val="2"/>
      <scheme val="minor"/>
    </font>
    <font>
      <sz val="11"/>
      <color theme="5" tint="0.39997558519241921"/>
      <name val="Aptos Narrow"/>
      <family val="2"/>
      <scheme val="minor"/>
    </font>
    <font>
      <sz val="11"/>
      <color rgb="FF9C0006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i/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rgb="FFF4B084"/>
      <name val="Calibri"/>
      <family val="2"/>
    </font>
    <font>
      <sz val="10"/>
      <name val="Aptos Narrow"/>
      <family val="2"/>
    </font>
    <font>
      <sz val="14"/>
      <name val="Aptos Narrow"/>
      <family val="2"/>
    </font>
    <font>
      <b/>
      <sz val="14"/>
      <name val="Aptos Narrow"/>
      <family val="2"/>
    </font>
    <font>
      <b/>
      <sz val="14"/>
      <color theme="0"/>
      <name val="Aptos Narrow"/>
      <family val="2"/>
    </font>
    <font>
      <sz val="16"/>
      <color theme="0"/>
      <name val="Aptos Narrow"/>
      <family val="2"/>
    </font>
    <font>
      <b/>
      <sz val="10"/>
      <name val="Aptos Narrow"/>
      <family val="2"/>
    </font>
    <font>
      <sz val="9"/>
      <name val="Aptos Narrow"/>
      <family val="2"/>
    </font>
    <font>
      <b/>
      <sz val="18"/>
      <name val="Aptos Narrow"/>
      <family val="2"/>
    </font>
    <font>
      <sz val="12"/>
      <name val="Aptos Narrow"/>
    </font>
    <font>
      <sz val="11"/>
      <color theme="1"/>
      <name val="Aptos Narrow"/>
    </font>
    <font>
      <sz val="16"/>
      <color theme="1"/>
      <name val="Aptos Narrow"/>
      <family val="2"/>
    </font>
    <font>
      <b/>
      <sz val="16"/>
      <color theme="1"/>
      <name val="Aptos Narrow"/>
      <family val="2"/>
    </font>
    <font>
      <b/>
      <sz val="14"/>
      <color theme="1"/>
      <name val="Aptos Narrow"/>
      <family val="2"/>
    </font>
    <font>
      <sz val="14"/>
      <color theme="1"/>
      <name val="Aptos Narrow"/>
      <family val="2"/>
    </font>
    <font>
      <b/>
      <sz val="16"/>
      <color theme="1"/>
      <name val="Aptos Narrow"/>
    </font>
    <font>
      <sz val="12"/>
      <color theme="0"/>
      <name val="Aptos Narrow"/>
      <family val="2"/>
    </font>
    <font>
      <b/>
      <sz val="12"/>
      <color theme="0"/>
      <name val="Aptos Narrow"/>
      <family val="2"/>
    </font>
    <font>
      <sz val="12"/>
      <name val="Aptos Narrow"/>
      <family val="2"/>
    </font>
    <font>
      <sz val="8"/>
      <name val="Aptos Narrow"/>
    </font>
    <font>
      <sz val="11"/>
      <color theme="1"/>
      <name val="Aptos Narrow"/>
      <family val="2"/>
    </font>
    <font>
      <sz val="12"/>
      <color theme="1"/>
      <name val="Aptos Narrow"/>
      <family val="2"/>
    </font>
    <font>
      <b/>
      <sz val="16"/>
      <name val="Aptos Narrow"/>
      <family val="2"/>
    </font>
    <font>
      <b/>
      <sz val="14"/>
      <color rgb="FFFFFFFF"/>
      <name val="Aptos Narrow"/>
      <family val="2"/>
    </font>
    <font>
      <sz val="11"/>
      <color rgb="FF000000"/>
      <name val="Aptos Narrow"/>
      <family val="2"/>
    </font>
    <font>
      <sz val="11"/>
      <color rgb="FF3F3F76"/>
      <name val="Aptos Narrow"/>
      <family val="2"/>
    </font>
    <font>
      <b/>
      <sz val="11"/>
      <color rgb="FF000000"/>
      <name val="Aptos Narrow"/>
      <family val="2"/>
    </font>
    <font>
      <b/>
      <sz val="12"/>
      <color rgb="FF000000"/>
      <name val="Aptos Narrow"/>
      <family val="2"/>
    </font>
    <font>
      <b/>
      <sz val="12"/>
      <color rgb="FFFFFFFF"/>
      <name val="Aptos Narrow"/>
      <family val="2"/>
    </font>
    <font>
      <b/>
      <sz val="11"/>
      <color rgb="FFFFFFFF"/>
      <name val="Aptos Narrow"/>
      <family val="2"/>
    </font>
  </fonts>
  <fills count="4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5"/>
        <bgColor rgb="FFFFC7CE"/>
      </patternFill>
    </fill>
    <fill>
      <patternFill patternType="solid">
        <fgColor indexed="65"/>
        <bgColor rgb="FFFFEB9C"/>
      </patternFill>
    </fill>
    <fill>
      <patternFill patternType="solid">
        <fgColor rgb="FF2F75B5"/>
        <bgColor rgb="FF2F75B5"/>
      </patternFill>
    </fill>
    <fill>
      <patternFill patternType="solid">
        <fgColor rgb="FF9BC2E6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rgb="FF3C7D2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rgb="FFFF6D6D"/>
        <bgColor rgb="FF000000"/>
      </patternFill>
    </fill>
    <fill>
      <patternFill patternType="solid">
        <fgColor rgb="FF104861"/>
        <bgColor rgb="FF000000"/>
      </patternFill>
    </fill>
    <fill>
      <patternFill patternType="solid">
        <fgColor rgb="FFDAE9F8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BE2D5"/>
        <bgColor rgb="FF000000"/>
      </patternFill>
    </fill>
  </fills>
  <borders count="9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theme="0"/>
      </right>
      <top style="thin">
        <color indexed="64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43" fontId="3" fillId="0" borderId="0" applyFont="0" applyFill="0" applyBorder="0" applyAlignment="0" applyProtection="0"/>
    <xf numFmtId="0" fontId="14" fillId="0" borderId="0"/>
    <xf numFmtId="0" fontId="15" fillId="13" borderId="0" applyNumberFormat="0" applyBorder="0" applyAlignment="0" applyProtection="0"/>
    <xf numFmtId="0" fontId="18" fillId="11" borderId="0" applyNumberFormat="0" applyBorder="0" applyAlignment="0" applyProtection="0"/>
    <xf numFmtId="9" fontId="14" fillId="0" borderId="0" applyFont="0" applyFill="0" applyBorder="0" applyAlignment="0" applyProtection="0"/>
    <xf numFmtId="0" fontId="20" fillId="12" borderId="0" applyNumberFormat="0" applyBorder="0" applyAlignment="0" applyProtection="0"/>
  </cellStyleXfs>
  <cellXfs count="859">
    <xf numFmtId="0" fontId="0" fillId="0" borderId="0" xfId="0"/>
    <xf numFmtId="0" fontId="0" fillId="0" borderId="2" xfId="0" applyBorder="1"/>
    <xf numFmtId="0" fontId="5" fillId="0" borderId="0" xfId="0" applyFont="1"/>
    <xf numFmtId="10" fontId="0" fillId="0" borderId="0" xfId="2" applyNumberFormat="1" applyFont="1"/>
    <xf numFmtId="0" fontId="0" fillId="2" borderId="0" xfId="0" applyFill="1"/>
    <xf numFmtId="10" fontId="0" fillId="0" borderId="0" xfId="2" applyNumberFormat="1" applyFont="1" applyBorder="1"/>
    <xf numFmtId="164" fontId="0" fillId="2" borderId="0" xfId="1" applyNumberFormat="1" applyFont="1" applyFill="1" applyBorder="1"/>
    <xf numFmtId="164" fontId="0" fillId="0" borderId="0" xfId="1" applyNumberFormat="1" applyFont="1" applyBorder="1"/>
    <xf numFmtId="0" fontId="0" fillId="2" borderId="10" xfId="0" applyFill="1" applyBorder="1"/>
    <xf numFmtId="0" fontId="0" fillId="0" borderId="10" xfId="0" applyBorder="1"/>
    <xf numFmtId="164" fontId="0" fillId="2" borderId="0" xfId="0" applyNumberFormat="1" applyFill="1"/>
    <xf numFmtId="164" fontId="0" fillId="2" borderId="9" xfId="1" applyNumberFormat="1" applyFont="1" applyFill="1" applyBorder="1"/>
    <xf numFmtId="10" fontId="0" fillId="0" borderId="10" xfId="2" applyNumberFormat="1" applyFont="1" applyBorder="1"/>
    <xf numFmtId="164" fontId="0" fillId="2" borderId="10" xfId="1" applyNumberFormat="1" applyFont="1" applyFill="1" applyBorder="1"/>
    <xf numFmtId="164" fontId="0" fillId="2" borderId="10" xfId="0" applyNumberFormat="1" applyFill="1" applyBorder="1"/>
    <xf numFmtId="164" fontId="2" fillId="2" borderId="10" xfId="1" applyNumberFormat="1" applyFont="1" applyFill="1" applyBorder="1"/>
    <xf numFmtId="0" fontId="6" fillId="3" borderId="0" xfId="0" applyFont="1" applyFill="1" applyAlignment="1">
      <alignment horizontal="center" vertical="center"/>
    </xf>
    <xf numFmtId="0" fontId="7" fillId="3" borderId="1" xfId="0" applyFont="1" applyFill="1" applyBorder="1"/>
    <xf numFmtId="0" fontId="6" fillId="3" borderId="13" xfId="0" applyFont="1" applyFill="1" applyBorder="1"/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 wrapText="1"/>
    </xf>
    <xf numFmtId="0" fontId="8" fillId="3" borderId="10" xfId="0" applyFont="1" applyFill="1" applyBorder="1"/>
    <xf numFmtId="0" fontId="8" fillId="3" borderId="0" xfId="0" applyFont="1" applyFill="1"/>
    <xf numFmtId="164" fontId="8" fillId="3" borderId="10" xfId="1" applyNumberFormat="1" applyFont="1" applyFill="1" applyBorder="1"/>
    <xf numFmtId="164" fontId="8" fillId="3" borderId="0" xfId="1" applyNumberFormat="1" applyFont="1" applyFill="1" applyBorder="1"/>
    <xf numFmtId="10" fontId="8" fillId="3" borderId="2" xfId="2" applyNumberFormat="1" applyFont="1" applyFill="1" applyBorder="1"/>
    <xf numFmtId="0" fontId="9" fillId="3" borderId="0" xfId="0" applyFont="1" applyFill="1"/>
    <xf numFmtId="10" fontId="9" fillId="3" borderId="11" xfId="2" applyNumberFormat="1" applyFont="1" applyFill="1" applyBorder="1"/>
    <xf numFmtId="10" fontId="9" fillId="3" borderId="1" xfId="2" applyNumberFormat="1" applyFont="1" applyFill="1" applyBorder="1"/>
    <xf numFmtId="0" fontId="9" fillId="3" borderId="8" xfId="0" applyFont="1" applyFill="1" applyBorder="1"/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/>
    </xf>
    <xf numFmtId="0" fontId="9" fillId="3" borderId="15" xfId="0" applyFont="1" applyFill="1" applyBorder="1"/>
    <xf numFmtId="0" fontId="9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2" fillId="0" borderId="2" xfId="1" applyNumberFormat="1" applyFont="1" applyBorder="1"/>
    <xf numFmtId="0" fontId="0" fillId="0" borderId="6" xfId="0" applyBorder="1"/>
    <xf numFmtId="0" fontId="8" fillId="3" borderId="11" xfId="0" applyFont="1" applyFill="1" applyBorder="1"/>
    <xf numFmtId="0" fontId="8" fillId="3" borderId="1" xfId="0" applyFont="1" applyFill="1" applyBorder="1"/>
    <xf numFmtId="164" fontId="8" fillId="3" borderId="1" xfId="0" applyNumberFormat="1" applyFont="1" applyFill="1" applyBorder="1"/>
    <xf numFmtId="164" fontId="8" fillId="3" borderId="8" xfId="0" applyNumberFormat="1" applyFont="1" applyFill="1" applyBorder="1"/>
    <xf numFmtId="164" fontId="2" fillId="2" borderId="2" xfId="1" applyNumberFormat="1" applyFont="1" applyFill="1" applyBorder="1"/>
    <xf numFmtId="0" fontId="4" fillId="0" borderId="0" xfId="3"/>
    <xf numFmtId="0" fontId="4" fillId="0" borderId="2" xfId="3" applyBorder="1"/>
    <xf numFmtId="164" fontId="4" fillId="0" borderId="0" xfId="3" applyNumberFormat="1"/>
    <xf numFmtId="0" fontId="6" fillId="3" borderId="2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4" fillId="2" borderId="4" xfId="3" applyFill="1" applyBorder="1"/>
    <xf numFmtId="0" fontId="4" fillId="0" borderId="6" xfId="3" applyBorder="1"/>
    <xf numFmtId="0" fontId="4" fillId="2" borderId="0" xfId="3" applyFill="1"/>
    <xf numFmtId="0" fontId="8" fillId="3" borderId="10" xfId="3" applyFont="1" applyFill="1" applyBorder="1"/>
    <xf numFmtId="0" fontId="8" fillId="3" borderId="0" xfId="3" applyFont="1" applyFill="1"/>
    <xf numFmtId="10" fontId="9" fillId="3" borderId="2" xfId="2" applyNumberFormat="1" applyFont="1" applyFill="1" applyBorder="1"/>
    <xf numFmtId="0" fontId="9" fillId="3" borderId="7" xfId="3" applyFont="1" applyFill="1" applyBorder="1"/>
    <xf numFmtId="0" fontId="9" fillId="3" borderId="1" xfId="3" applyFont="1" applyFill="1" applyBorder="1"/>
    <xf numFmtId="0" fontId="9" fillId="3" borderId="8" xfId="3" applyFont="1" applyFill="1" applyBorder="1"/>
    <xf numFmtId="0" fontId="9" fillId="3" borderId="0" xfId="3" applyFont="1" applyFill="1"/>
    <xf numFmtId="164" fontId="0" fillId="0" borderId="0" xfId="1" applyNumberFormat="1" applyFont="1"/>
    <xf numFmtId="164" fontId="2" fillId="0" borderId="0" xfId="1" applyNumberFormat="1" applyFont="1"/>
    <xf numFmtId="164" fontId="0" fillId="0" borderId="0" xfId="0" applyNumberFormat="1"/>
    <xf numFmtId="0" fontId="0" fillId="0" borderId="11" xfId="0" applyBorder="1"/>
    <xf numFmtId="0" fontId="0" fillId="2" borderId="4" xfId="0" applyFill="1" applyBorder="1"/>
    <xf numFmtId="164" fontId="0" fillId="2" borderId="4" xfId="1" applyNumberFormat="1" applyFont="1" applyFill="1" applyBorder="1"/>
    <xf numFmtId="10" fontId="9" fillId="3" borderId="8" xfId="2" applyNumberFormat="1" applyFont="1" applyFill="1" applyBorder="1"/>
    <xf numFmtId="0" fontId="6" fillId="3" borderId="0" xfId="0" applyFont="1" applyFill="1" applyAlignment="1">
      <alignment horizontal="center"/>
    </xf>
    <xf numFmtId="164" fontId="2" fillId="2" borderId="4" xfId="1" applyNumberFormat="1" applyFont="1" applyFill="1" applyBorder="1"/>
    <xf numFmtId="10" fontId="0" fillId="2" borderId="9" xfId="2" applyNumberFormat="1" applyFont="1" applyFill="1" applyBorder="1"/>
    <xf numFmtId="10" fontId="0" fillId="2" borderId="10" xfId="2" applyNumberFormat="1" applyFont="1" applyFill="1" applyBorder="1"/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 vertical="center" wrapText="1"/>
    </xf>
    <xf numFmtId="0" fontId="8" fillId="3" borderId="12" xfId="0" applyFont="1" applyFill="1" applyBorder="1"/>
    <xf numFmtId="164" fontId="8" fillId="3" borderId="25" xfId="1" applyNumberFormat="1" applyFont="1" applyFill="1" applyBorder="1"/>
    <xf numFmtId="10" fontId="8" fillId="3" borderId="25" xfId="2" applyNumberFormat="1" applyFont="1" applyFill="1" applyBorder="1"/>
    <xf numFmtId="164" fontId="8" fillId="3" borderId="26" xfId="1" applyNumberFormat="1" applyFont="1" applyFill="1" applyBorder="1"/>
    <xf numFmtId="10" fontId="8" fillId="3" borderId="26" xfId="2" applyNumberFormat="1" applyFont="1" applyFill="1" applyBorder="1"/>
    <xf numFmtId="0" fontId="8" fillId="3" borderId="27" xfId="0" applyFont="1" applyFill="1" applyBorder="1"/>
    <xf numFmtId="10" fontId="9" fillId="3" borderId="24" xfId="2" applyNumberFormat="1" applyFont="1" applyFill="1" applyBorder="1"/>
    <xf numFmtId="0" fontId="6" fillId="3" borderId="21" xfId="0" applyFont="1" applyFill="1" applyBorder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10" fillId="3" borderId="0" xfId="3" applyFont="1" applyFill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164" fontId="8" fillId="3" borderId="23" xfId="1" applyNumberFormat="1" applyFont="1" applyFill="1" applyBorder="1"/>
    <xf numFmtId="0" fontId="6" fillId="3" borderId="25" xfId="0" applyFont="1" applyFill="1" applyBorder="1" applyAlignment="1">
      <alignment horizontal="center"/>
    </xf>
    <xf numFmtId="164" fontId="0" fillId="2" borderId="4" xfId="0" applyNumberFormat="1" applyFill="1" applyBorder="1"/>
    <xf numFmtId="0" fontId="0" fillId="5" borderId="1" xfId="0" applyFill="1" applyBorder="1"/>
    <xf numFmtId="0" fontId="0" fillId="5" borderId="0" xfId="0" applyFill="1"/>
    <xf numFmtId="164" fontId="0" fillId="2" borderId="9" xfId="0" applyNumberFormat="1" applyFill="1" applyBorder="1"/>
    <xf numFmtId="0" fontId="8" fillId="3" borderId="28" xfId="0" applyFont="1" applyFill="1" applyBorder="1"/>
    <xf numFmtId="10" fontId="9" fillId="3" borderId="5" xfId="2" applyNumberFormat="1" applyFont="1" applyFill="1" applyBorder="1"/>
    <xf numFmtId="0" fontId="0" fillId="6" borderId="10" xfId="0" applyFill="1" applyBorder="1"/>
    <xf numFmtId="0" fontId="0" fillId="6" borderId="0" xfId="0" applyFill="1"/>
    <xf numFmtId="10" fontId="0" fillId="6" borderId="10" xfId="2" applyNumberFormat="1" applyFont="1" applyFill="1" applyBorder="1"/>
    <xf numFmtId="0" fontId="0" fillId="6" borderId="11" xfId="0" applyFill="1" applyBorder="1"/>
    <xf numFmtId="0" fontId="0" fillId="6" borderId="1" xfId="0" applyFill="1" applyBorder="1"/>
    <xf numFmtId="10" fontId="0" fillId="6" borderId="11" xfId="2" applyNumberFormat="1" applyFont="1" applyFill="1" applyBorder="1"/>
    <xf numFmtId="10" fontId="0" fillId="6" borderId="0" xfId="2" applyNumberFormat="1" applyFont="1" applyFill="1" applyBorder="1"/>
    <xf numFmtId="0" fontId="0" fillId="6" borderId="2" xfId="0" applyFill="1" applyBorder="1"/>
    <xf numFmtId="164" fontId="0" fillId="6" borderId="8" xfId="1" applyNumberFormat="1" applyFont="1" applyFill="1" applyBorder="1"/>
    <xf numFmtId="0" fontId="2" fillId="6" borderId="13" xfId="0" applyFont="1" applyFill="1" applyBorder="1"/>
    <xf numFmtId="0" fontId="2" fillId="6" borderId="0" xfId="0" applyFont="1" applyFill="1"/>
    <xf numFmtId="10" fontId="2" fillId="6" borderId="24" xfId="2" applyNumberFormat="1" applyFont="1" applyFill="1" applyBorder="1"/>
    <xf numFmtId="10" fontId="2" fillId="6" borderId="21" xfId="2" applyNumberFormat="1" applyFont="1" applyFill="1" applyBorder="1"/>
    <xf numFmtId="10" fontId="2" fillId="6" borderId="8" xfId="2" applyNumberFormat="1" applyFont="1" applyFill="1" applyBorder="1"/>
    <xf numFmtId="9" fontId="0" fillId="0" borderId="0" xfId="2" applyFont="1"/>
    <xf numFmtId="10" fontId="0" fillId="6" borderId="21" xfId="2" applyNumberFormat="1" applyFont="1" applyFill="1" applyBorder="1"/>
    <xf numFmtId="164" fontId="0" fillId="0" borderId="10" xfId="1" applyNumberFormat="1" applyFont="1" applyBorder="1"/>
    <xf numFmtId="164" fontId="0" fillId="0" borderId="10" xfId="2" applyNumberFormat="1" applyFont="1" applyBorder="1"/>
    <xf numFmtId="0" fontId="6" fillId="3" borderId="27" xfId="0" applyFont="1" applyFill="1" applyBorder="1"/>
    <xf numFmtId="0" fontId="7" fillId="3" borderId="0" xfId="0" applyFont="1" applyFill="1"/>
    <xf numFmtId="164" fontId="2" fillId="2" borderId="9" xfId="1" applyNumberFormat="1" applyFont="1" applyFill="1" applyBorder="1"/>
    <xf numFmtId="164" fontId="0" fillId="5" borderId="11" xfId="1" applyNumberFormat="1" applyFont="1" applyFill="1" applyBorder="1"/>
    <xf numFmtId="164" fontId="0" fillId="5" borderId="11" xfId="2" applyNumberFormat="1" applyFont="1" applyFill="1" applyBorder="1"/>
    <xf numFmtId="164" fontId="0" fillId="5" borderId="10" xfId="1" applyNumberFormat="1" applyFont="1" applyFill="1" applyBorder="1"/>
    <xf numFmtId="164" fontId="0" fillId="5" borderId="6" xfId="1" applyNumberFormat="1" applyFont="1" applyFill="1" applyBorder="1"/>
    <xf numFmtId="164" fontId="0" fillId="5" borderId="0" xfId="2" applyNumberFormat="1" applyFont="1" applyFill="1" applyBorder="1"/>
    <xf numFmtId="164" fontId="9" fillId="3" borderId="0" xfId="1" applyNumberFormat="1" applyFont="1" applyFill="1" applyBorder="1"/>
    <xf numFmtId="0" fontId="9" fillId="3" borderId="10" xfId="0" applyFont="1" applyFill="1" applyBorder="1"/>
    <xf numFmtId="164" fontId="9" fillId="3" borderId="10" xfId="2" applyNumberFormat="1" applyFont="1" applyFill="1" applyBorder="1"/>
    <xf numFmtId="0" fontId="8" fillId="3" borderId="9" xfId="0" applyFont="1" applyFill="1" applyBorder="1"/>
    <xf numFmtId="0" fontId="8" fillId="3" borderId="4" xfId="0" applyFont="1" applyFill="1" applyBorder="1"/>
    <xf numFmtId="164" fontId="8" fillId="3" borderId="9" xfId="1" applyNumberFormat="1" applyFont="1" applyFill="1" applyBorder="1"/>
    <xf numFmtId="10" fontId="8" fillId="3" borderId="5" xfId="2" applyNumberFormat="1" applyFont="1" applyFill="1" applyBorder="1"/>
    <xf numFmtId="0" fontId="9" fillId="3" borderId="2" xfId="0" applyFont="1" applyFill="1" applyBorder="1"/>
    <xf numFmtId="0" fontId="9" fillId="5" borderId="1" xfId="0" applyFont="1" applyFill="1" applyBorder="1"/>
    <xf numFmtId="0" fontId="9" fillId="5" borderId="8" xfId="0" applyFont="1" applyFill="1" applyBorder="1"/>
    <xf numFmtId="164" fontId="0" fillId="5" borderId="0" xfId="1" applyNumberFormat="1" applyFont="1" applyFill="1" applyBorder="1"/>
    <xf numFmtId="164" fontId="0" fillId="5" borderId="10" xfId="2" applyNumberFormat="1" applyFont="1" applyFill="1" applyBorder="1"/>
    <xf numFmtId="164" fontId="8" fillId="3" borderId="4" xfId="1" applyNumberFormat="1" applyFont="1" applyFill="1" applyBorder="1"/>
    <xf numFmtId="164" fontId="9" fillId="3" borderId="10" xfId="1" applyNumberFormat="1" applyFont="1" applyFill="1" applyBorder="1"/>
    <xf numFmtId="0" fontId="9" fillId="3" borderId="4" xfId="0" applyFont="1" applyFill="1" applyBorder="1"/>
    <xf numFmtId="164" fontId="9" fillId="3" borderId="9" xfId="1" applyNumberFormat="1" applyFont="1" applyFill="1" applyBorder="1"/>
    <xf numFmtId="164" fontId="9" fillId="3" borderId="4" xfId="1" applyNumberFormat="1" applyFont="1" applyFill="1" applyBorder="1"/>
    <xf numFmtId="0" fontId="8" fillId="3" borderId="2" xfId="0" applyFont="1" applyFill="1" applyBorder="1"/>
    <xf numFmtId="10" fontId="0" fillId="5" borderId="11" xfId="2" applyNumberFormat="1" applyFont="1" applyFill="1" applyBorder="1"/>
    <xf numFmtId="10" fontId="9" fillId="3" borderId="10" xfId="2" applyNumberFormat="1" applyFont="1" applyFill="1" applyBorder="1"/>
    <xf numFmtId="44" fontId="0" fillId="0" borderId="0" xfId="1" applyFont="1"/>
    <xf numFmtId="44" fontId="0" fillId="0" borderId="0" xfId="0" applyNumberFormat="1"/>
    <xf numFmtId="0" fontId="8" fillId="3" borderId="31" xfId="0" applyFont="1" applyFill="1" applyBorder="1" applyAlignment="1">
      <alignment horizontal="center" wrapText="1"/>
    </xf>
    <xf numFmtId="164" fontId="0" fillId="7" borderId="6" xfId="1" applyNumberFormat="1" applyFont="1" applyFill="1" applyBorder="1"/>
    <xf numFmtId="44" fontId="0" fillId="7" borderId="0" xfId="1" applyFont="1" applyFill="1" applyBorder="1"/>
    <xf numFmtId="164" fontId="0" fillId="7" borderId="0" xfId="1" applyNumberFormat="1" applyFont="1" applyFill="1" applyBorder="1"/>
    <xf numFmtId="43" fontId="0" fillId="7" borderId="0" xfId="4" applyFont="1" applyFill="1" applyBorder="1"/>
    <xf numFmtId="43" fontId="0" fillId="8" borderId="0" xfId="4" applyFont="1" applyFill="1" applyBorder="1"/>
    <xf numFmtId="43" fontId="0" fillId="8" borderId="0" xfId="2" applyNumberFormat="1" applyFont="1" applyFill="1" applyBorder="1"/>
    <xf numFmtId="43" fontId="0" fillId="10" borderId="0" xfId="4" applyFont="1" applyFill="1" applyBorder="1"/>
    <xf numFmtId="164" fontId="0" fillId="9" borderId="0" xfId="1" applyNumberFormat="1" applyFont="1" applyFill="1" applyBorder="1"/>
    <xf numFmtId="43" fontId="0" fillId="7" borderId="2" xfId="4" applyFont="1" applyFill="1" applyBorder="1"/>
    <xf numFmtId="0" fontId="8" fillId="3" borderId="33" xfId="0" applyFont="1" applyFill="1" applyBorder="1" applyAlignment="1">
      <alignment horizontal="center" wrapText="1"/>
    </xf>
    <xf numFmtId="0" fontId="8" fillId="3" borderId="6" xfId="0" applyFont="1" applyFill="1" applyBorder="1"/>
    <xf numFmtId="0" fontId="8" fillId="3" borderId="37" xfId="0" applyFont="1" applyFill="1" applyBorder="1" applyAlignment="1">
      <alignment horizontal="center" wrapText="1"/>
    </xf>
    <xf numFmtId="43" fontId="0" fillId="0" borderId="0" xfId="4" applyFont="1"/>
    <xf numFmtId="164" fontId="0" fillId="9" borderId="10" xfId="1" applyNumberFormat="1" applyFont="1" applyFill="1" applyBorder="1"/>
    <xf numFmtId="0" fontId="0" fillId="9" borderId="10" xfId="0" applyFill="1" applyBorder="1"/>
    <xf numFmtId="164" fontId="2" fillId="7" borderId="30" xfId="1" applyNumberFormat="1" applyFont="1" applyFill="1" applyBorder="1"/>
    <xf numFmtId="44" fontId="2" fillId="7" borderId="31" xfId="1" applyFont="1" applyFill="1" applyBorder="1"/>
    <xf numFmtId="164" fontId="2" fillId="7" borderId="31" xfId="1" applyNumberFormat="1" applyFont="1" applyFill="1" applyBorder="1"/>
    <xf numFmtId="164" fontId="2" fillId="9" borderId="31" xfId="1" applyNumberFormat="1" applyFont="1" applyFill="1" applyBorder="1"/>
    <xf numFmtId="164" fontId="2" fillId="9" borderId="32" xfId="1" applyNumberFormat="1" applyFont="1" applyFill="1" applyBorder="1"/>
    <xf numFmtId="43" fontId="2" fillId="7" borderId="31" xfId="4" applyFont="1" applyFill="1" applyBorder="1"/>
    <xf numFmtId="43" fontId="2" fillId="8" borderId="31" xfId="4" applyFont="1" applyFill="1" applyBorder="1"/>
    <xf numFmtId="0" fontId="0" fillId="9" borderId="29" xfId="0" applyFill="1" applyBorder="1"/>
    <xf numFmtId="164" fontId="0" fillId="7" borderId="22" xfId="1" applyNumberFormat="1" applyFont="1" applyFill="1" applyBorder="1"/>
    <xf numFmtId="43" fontId="0" fillId="7" borderId="31" xfId="4" applyFont="1" applyFill="1" applyBorder="1"/>
    <xf numFmtId="43" fontId="0" fillId="9" borderId="10" xfId="4" applyFont="1" applyFill="1" applyBorder="1"/>
    <xf numFmtId="43" fontId="0" fillId="9" borderId="29" xfId="4" applyFont="1" applyFill="1" applyBorder="1"/>
    <xf numFmtId="0" fontId="14" fillId="0" borderId="0" xfId="5"/>
    <xf numFmtId="10" fontId="14" fillId="0" borderId="0" xfId="5" applyNumberFormat="1"/>
    <xf numFmtId="168" fontId="14" fillId="0" borderId="0" xfId="5" applyNumberFormat="1"/>
    <xf numFmtId="165" fontId="14" fillId="0" borderId="0" xfId="5" applyNumberFormat="1"/>
    <xf numFmtId="165" fontId="14" fillId="14" borderId="0" xfId="5" applyNumberFormat="1" applyFill="1"/>
    <xf numFmtId="0" fontId="14" fillId="0" borderId="0" xfId="5" applyAlignment="1">
      <alignment horizontal="left"/>
    </xf>
    <xf numFmtId="168" fontId="15" fillId="13" borderId="38" xfId="6" applyNumberFormat="1" applyBorder="1" applyAlignment="1"/>
    <xf numFmtId="0" fontId="16" fillId="0" borderId="39" xfId="5" applyFont="1" applyBorder="1" applyAlignment="1">
      <alignment horizontal="left"/>
    </xf>
    <xf numFmtId="168" fontId="0" fillId="0" borderId="40" xfId="6" applyNumberFormat="1" applyFont="1" applyFill="1" applyBorder="1"/>
    <xf numFmtId="0" fontId="16" fillId="0" borderId="41" xfId="5" applyFont="1" applyBorder="1" applyAlignment="1">
      <alignment horizontal="left"/>
    </xf>
    <xf numFmtId="2" fontId="14" fillId="0" borderId="0" xfId="5" applyNumberFormat="1"/>
    <xf numFmtId="2" fontId="14" fillId="14" borderId="0" xfId="5" applyNumberFormat="1" applyFill="1"/>
    <xf numFmtId="168" fontId="17" fillId="0" borderId="42" xfId="5" applyNumberFormat="1" applyFont="1" applyBorder="1"/>
    <xf numFmtId="0" fontId="16" fillId="0" borderId="43" xfId="5" applyFont="1" applyBorder="1" applyAlignment="1">
      <alignment horizontal="left"/>
    </xf>
    <xf numFmtId="17" fontId="16" fillId="0" borderId="0" xfId="5" applyNumberFormat="1" applyFont="1"/>
    <xf numFmtId="168" fontId="15" fillId="13" borderId="38" xfId="6" applyNumberFormat="1" applyBorder="1"/>
    <xf numFmtId="0" fontId="16" fillId="0" borderId="44" xfId="5" applyFont="1" applyBorder="1" applyAlignment="1">
      <alignment horizontal="left"/>
    </xf>
    <xf numFmtId="10" fontId="14" fillId="14" borderId="0" xfId="5" applyNumberFormat="1" applyFill="1"/>
    <xf numFmtId="168" fontId="0" fillId="0" borderId="45" xfId="6" applyNumberFormat="1" applyFont="1" applyFill="1" applyBorder="1"/>
    <xf numFmtId="0" fontId="16" fillId="0" borderId="46" xfId="5" applyFont="1" applyBorder="1" applyAlignment="1">
      <alignment horizontal="left"/>
    </xf>
    <xf numFmtId="44" fontId="14" fillId="0" borderId="0" xfId="5" applyNumberFormat="1"/>
    <xf numFmtId="44" fontId="14" fillId="14" borderId="0" xfId="5" applyNumberFormat="1" applyFill="1"/>
    <xf numFmtId="44" fontId="15" fillId="0" borderId="0" xfId="5" applyNumberFormat="1" applyFont="1"/>
    <xf numFmtId="44" fontId="18" fillId="0" borderId="0" xfId="5" applyNumberFormat="1" applyFont="1"/>
    <xf numFmtId="168" fontId="17" fillId="0" borderId="47" xfId="5" applyNumberFormat="1" applyFont="1" applyBorder="1"/>
    <xf numFmtId="0" fontId="16" fillId="0" borderId="48" xfId="5" applyFont="1" applyBorder="1" applyAlignment="1">
      <alignment horizontal="left"/>
    </xf>
    <xf numFmtId="1" fontId="14" fillId="0" borderId="0" xfId="5" applyNumberFormat="1"/>
    <xf numFmtId="1" fontId="14" fillId="14" borderId="0" xfId="5" applyNumberFormat="1" applyFill="1"/>
    <xf numFmtId="0" fontId="14" fillId="0" borderId="0" xfId="5" pivotButton="1"/>
    <xf numFmtId="0" fontId="14" fillId="15" borderId="0" xfId="5" applyFill="1"/>
    <xf numFmtId="0" fontId="14" fillId="14" borderId="0" xfId="5" applyFill="1"/>
    <xf numFmtId="0" fontId="19" fillId="0" borderId="0" xfId="5" applyFont="1"/>
    <xf numFmtId="168" fontId="18" fillId="11" borderId="49" xfId="7" applyNumberFormat="1" applyBorder="1" applyAlignment="1"/>
    <xf numFmtId="0" fontId="15" fillId="13" borderId="0" xfId="6" applyNumberFormat="1"/>
    <xf numFmtId="0" fontId="20" fillId="16" borderId="0" xfId="5" applyFont="1" applyFill="1"/>
    <xf numFmtId="9" fontId="14" fillId="0" borderId="0" xfId="5" applyNumberFormat="1"/>
    <xf numFmtId="9" fontId="14" fillId="14" borderId="0" xfId="5" applyNumberFormat="1" applyFill="1"/>
    <xf numFmtId="10" fontId="21" fillId="0" borderId="0" xfId="5" applyNumberFormat="1" applyFont="1"/>
    <xf numFmtId="0" fontId="21" fillId="0" borderId="0" xfId="5" applyFont="1" applyAlignment="1">
      <alignment horizontal="left"/>
    </xf>
    <xf numFmtId="44" fontId="15" fillId="13" borderId="0" xfId="6" applyNumberFormat="1"/>
    <xf numFmtId="44" fontId="15" fillId="17" borderId="0" xfId="5" applyNumberFormat="1" applyFont="1" applyFill="1"/>
    <xf numFmtId="3" fontId="14" fillId="0" borderId="0" xfId="5" applyNumberFormat="1"/>
    <xf numFmtId="3" fontId="14" fillId="14" borderId="0" xfId="5" applyNumberFormat="1" applyFill="1"/>
    <xf numFmtId="9" fontId="0" fillId="0" borderId="0" xfId="8" applyFont="1"/>
    <xf numFmtId="168" fontId="0" fillId="0" borderId="45" xfId="6" applyNumberFormat="1" applyFont="1" applyFill="1" applyBorder="1" applyAlignment="1"/>
    <xf numFmtId="10" fontId="0" fillId="0" borderId="0" xfId="8" applyNumberFormat="1" applyFont="1"/>
    <xf numFmtId="4" fontId="14" fillId="0" borderId="0" xfId="5" applyNumberFormat="1"/>
    <xf numFmtId="4" fontId="14" fillId="14" borderId="0" xfId="5" applyNumberFormat="1" applyFill="1"/>
    <xf numFmtId="4" fontId="20" fillId="0" borderId="0" xfId="5" applyNumberFormat="1" applyFont="1"/>
    <xf numFmtId="0" fontId="22" fillId="0" borderId="0" xfId="5" applyFont="1"/>
    <xf numFmtId="0" fontId="16" fillId="0" borderId="0" xfId="5" applyFont="1" applyAlignment="1">
      <alignment horizontal="left"/>
    </xf>
    <xf numFmtId="4" fontId="14" fillId="0" borderId="0" xfId="5" applyNumberFormat="1" applyAlignment="1">
      <alignment horizontal="right"/>
    </xf>
    <xf numFmtId="4" fontId="14" fillId="14" borderId="0" xfId="5" applyNumberFormat="1" applyFill="1" applyAlignment="1">
      <alignment horizontal="right"/>
    </xf>
    <xf numFmtId="9" fontId="23" fillId="0" borderId="0" xfId="8" applyFont="1"/>
    <xf numFmtId="168" fontId="20" fillId="12" borderId="38" xfId="9" applyNumberFormat="1" applyBorder="1" applyAlignment="1"/>
    <xf numFmtId="166" fontId="14" fillId="0" borderId="0" xfId="5" applyNumberFormat="1"/>
    <xf numFmtId="166" fontId="15" fillId="13" borderId="0" xfId="5" applyNumberFormat="1" applyFont="1" applyFill="1"/>
    <xf numFmtId="166" fontId="15" fillId="0" borderId="0" xfId="5" applyNumberFormat="1" applyFont="1"/>
    <xf numFmtId="167" fontId="14" fillId="0" borderId="0" xfId="5" applyNumberFormat="1"/>
    <xf numFmtId="0" fontId="14" fillId="0" borderId="0" xfId="5" applyAlignment="1">
      <alignment horizontal="right"/>
    </xf>
    <xf numFmtId="0" fontId="21" fillId="0" borderId="0" xfId="5" applyFont="1"/>
    <xf numFmtId="0" fontId="16" fillId="0" borderId="0" xfId="5" applyFont="1"/>
    <xf numFmtId="165" fontId="0" fillId="0" borderId="0" xfId="4" applyNumberFormat="1" applyFont="1"/>
    <xf numFmtId="10" fontId="0" fillId="0" borderId="0" xfId="0" applyNumberFormat="1"/>
    <xf numFmtId="3" fontId="0" fillId="0" borderId="0" xfId="0" applyNumberFormat="1"/>
    <xf numFmtId="3" fontId="0" fillId="14" borderId="0" xfId="0" applyNumberFormat="1" applyFill="1"/>
    <xf numFmtId="0" fontId="16" fillId="7" borderId="0" xfId="5" applyFont="1" applyFill="1" applyAlignment="1">
      <alignment horizontal="left"/>
    </xf>
    <xf numFmtId="0" fontId="1" fillId="0" borderId="0" xfId="5" applyFont="1" applyAlignment="1">
      <alignment horizontal="left"/>
    </xf>
    <xf numFmtId="0" fontId="0" fillId="8" borderId="0" xfId="0" applyFill="1"/>
    <xf numFmtId="43" fontId="0" fillId="8" borderId="0" xfId="0" applyNumberFormat="1" applyFill="1"/>
    <xf numFmtId="164" fontId="0" fillId="8" borderId="0" xfId="1" applyNumberFormat="1" applyFont="1" applyFill="1"/>
    <xf numFmtId="164" fontId="0" fillId="8" borderId="0" xfId="0" applyNumberFormat="1" applyFill="1"/>
    <xf numFmtId="165" fontId="0" fillId="0" borderId="0" xfId="0" applyNumberFormat="1"/>
    <xf numFmtId="0" fontId="17" fillId="0" borderId="0" xfId="0" applyFont="1"/>
    <xf numFmtId="0" fontId="24" fillId="18" borderId="0" xfId="0" applyFont="1" applyFill="1"/>
    <xf numFmtId="0" fontId="25" fillId="18" borderId="0" xfId="0" applyFont="1" applyFill="1"/>
    <xf numFmtId="17" fontId="26" fillId="0" borderId="0" xfId="0" applyNumberFormat="1" applyFont="1"/>
    <xf numFmtId="15" fontId="25" fillId="18" borderId="0" xfId="0" applyNumberFormat="1" applyFont="1" applyFill="1"/>
    <xf numFmtId="0" fontId="26" fillId="0" borderId="43" xfId="0" applyFont="1" applyBorder="1" applyAlignment="1">
      <alignment horizontal="left"/>
    </xf>
    <xf numFmtId="10" fontId="17" fillId="0" borderId="42" xfId="0" applyNumberFormat="1" applyFont="1" applyBorder="1"/>
    <xf numFmtId="0" fontId="17" fillId="19" borderId="0" xfId="0" applyFont="1" applyFill="1"/>
    <xf numFmtId="0" fontId="26" fillId="0" borderId="41" xfId="0" applyFont="1" applyBorder="1" applyAlignment="1">
      <alignment horizontal="left"/>
    </xf>
    <xf numFmtId="10" fontId="17" fillId="0" borderId="40" xfId="0" applyNumberFormat="1" applyFont="1" applyBorder="1"/>
    <xf numFmtId="3" fontId="17" fillId="0" borderId="0" xfId="0" applyNumberFormat="1" applyFont="1"/>
    <xf numFmtId="3" fontId="17" fillId="19" borderId="0" xfId="0" applyNumberFormat="1" applyFont="1" applyFill="1"/>
    <xf numFmtId="0" fontId="26" fillId="0" borderId="39" xfId="0" applyFont="1" applyBorder="1" applyAlignment="1">
      <alignment horizontal="left"/>
    </xf>
    <xf numFmtId="10" fontId="27" fillId="20" borderId="49" xfId="0" applyNumberFormat="1" applyFont="1" applyFill="1" applyBorder="1"/>
    <xf numFmtId="8" fontId="17" fillId="0" borderId="0" xfId="0" applyNumberFormat="1" applyFont="1"/>
    <xf numFmtId="8" fontId="28" fillId="17" borderId="0" xfId="0" applyNumberFormat="1" applyFont="1" applyFill="1"/>
    <xf numFmtId="8" fontId="28" fillId="21" borderId="0" xfId="0" applyNumberFormat="1" applyFont="1" applyFill="1"/>
    <xf numFmtId="0" fontId="29" fillId="0" borderId="0" xfId="0" applyFont="1"/>
    <xf numFmtId="0" fontId="29" fillId="0" borderId="0" xfId="0" applyFont="1" applyAlignment="1">
      <alignment horizontal="left"/>
    </xf>
    <xf numFmtId="9" fontId="17" fillId="0" borderId="0" xfId="0" applyNumberFormat="1" applyFont="1"/>
    <xf numFmtId="9" fontId="17" fillId="19" borderId="0" xfId="0" applyNumberFormat="1" applyFont="1" applyFill="1"/>
    <xf numFmtId="0" fontId="30" fillId="16" borderId="0" xfId="0" applyFont="1" applyFill="1"/>
    <xf numFmtId="0" fontId="28" fillId="21" borderId="0" xfId="0" applyFont="1" applyFill="1"/>
    <xf numFmtId="0" fontId="31" fillId="0" borderId="0" xfId="0" applyFont="1"/>
    <xf numFmtId="0" fontId="2" fillId="2" borderId="9" xfId="0" applyFont="1" applyFill="1" applyBorder="1"/>
    <xf numFmtId="0" fontId="3" fillId="0" borderId="0" xfId="0" applyFont="1"/>
    <xf numFmtId="0" fontId="2" fillId="2" borderId="3" xfId="0" applyFont="1" applyFill="1" applyBorder="1"/>
    <xf numFmtId="0" fontId="0" fillId="0" borderId="0" xfId="0" applyAlignment="1">
      <alignment horizontal="center"/>
    </xf>
    <xf numFmtId="9" fontId="0" fillId="22" borderId="0" xfId="2" applyFont="1" applyFill="1"/>
    <xf numFmtId="0" fontId="2" fillId="0" borderId="0" xfId="0" applyFont="1"/>
    <xf numFmtId="9" fontId="2" fillId="0" borderId="0" xfId="2" applyFont="1"/>
    <xf numFmtId="0" fontId="2" fillId="0" borderId="0" xfId="0" applyFont="1" applyAlignment="1">
      <alignment horizontal="center"/>
    </xf>
    <xf numFmtId="0" fontId="2" fillId="22" borderId="0" xfId="0" applyFont="1" applyFill="1" applyAlignment="1">
      <alignment horizontal="center"/>
    </xf>
    <xf numFmtId="164" fontId="2" fillId="0" borderId="0" xfId="1" applyNumberFormat="1" applyFont="1" applyAlignment="1">
      <alignment horizontal="center"/>
    </xf>
    <xf numFmtId="165" fontId="0" fillId="22" borderId="0" xfId="4" applyNumberFormat="1" applyFont="1" applyFill="1"/>
    <xf numFmtId="43" fontId="0" fillId="7" borderId="0" xfId="4" applyFont="1" applyFill="1"/>
    <xf numFmtId="10" fontId="0" fillId="7" borderId="0" xfId="0" applyNumberFormat="1" applyFill="1"/>
    <xf numFmtId="165" fontId="2" fillId="22" borderId="0" xfId="4" applyNumberFormat="1" applyFont="1" applyFill="1" applyAlignment="1">
      <alignment horizontal="center"/>
    </xf>
    <xf numFmtId="165" fontId="2" fillId="22" borderId="0" xfId="4" applyNumberFormat="1" applyFont="1" applyFill="1"/>
    <xf numFmtId="165" fontId="2" fillId="0" borderId="0" xfId="4" applyNumberFormat="1" applyFont="1"/>
    <xf numFmtId="0" fontId="0" fillId="0" borderId="0" xfId="0" applyAlignment="1">
      <alignment vertical="center"/>
    </xf>
    <xf numFmtId="43" fontId="0" fillId="0" borderId="0" xfId="4" applyFont="1" applyAlignment="1">
      <alignment vertical="center"/>
    </xf>
    <xf numFmtId="9" fontId="0" fillId="0" borderId="53" xfId="0" applyNumberFormat="1" applyBorder="1" applyAlignment="1">
      <alignment vertical="center"/>
    </xf>
    <xf numFmtId="0" fontId="0" fillId="0" borderId="53" xfId="0" applyBorder="1" applyAlignment="1">
      <alignment vertical="center"/>
    </xf>
    <xf numFmtId="10" fontId="0" fillId="23" borderId="50" xfId="2" applyNumberFormat="1" applyFont="1" applyFill="1" applyBorder="1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2" fontId="0" fillId="0" borderId="50" xfId="0" applyNumberFormat="1" applyBorder="1" applyAlignment="1">
      <alignment vertical="center"/>
    </xf>
    <xf numFmtId="2" fontId="0" fillId="5" borderId="50" xfId="0" applyNumberFormat="1" applyFill="1" applyBorder="1" applyAlignment="1">
      <alignment vertical="center"/>
    </xf>
    <xf numFmtId="2" fontId="0" fillId="6" borderId="50" xfId="0" applyNumberFormat="1" applyFill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2" fillId="0" borderId="50" xfId="0" applyFont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0" xfId="0" applyBorder="1" applyAlignment="1">
      <alignment vertical="center"/>
    </xf>
    <xf numFmtId="164" fontId="0" fillId="0" borderId="0" xfId="1" applyNumberFormat="1" applyFont="1" applyAlignment="1">
      <alignment vertical="center"/>
    </xf>
    <xf numFmtId="44" fontId="0" fillId="0" borderId="0" xfId="0" applyNumberFormat="1" applyAlignment="1">
      <alignment vertical="center"/>
    </xf>
    <xf numFmtId="43" fontId="0" fillId="7" borderId="0" xfId="0" applyNumberFormat="1" applyFill="1"/>
    <xf numFmtId="43" fontId="0" fillId="0" borderId="0" xfId="0" applyNumberFormat="1" applyAlignment="1">
      <alignment vertical="center"/>
    </xf>
    <xf numFmtId="10" fontId="0" fillId="0" borderId="50" xfId="4" applyNumberFormat="1" applyFont="1" applyBorder="1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6" borderId="51" xfId="0" applyNumberFormat="1" applyFill="1" applyBorder="1" applyAlignment="1">
      <alignment vertical="center"/>
    </xf>
    <xf numFmtId="2" fontId="0" fillId="6" borderId="53" xfId="0" applyNumberFormat="1" applyFill="1" applyBorder="1" applyAlignment="1">
      <alignment vertical="center"/>
    </xf>
    <xf numFmtId="43" fontId="0" fillId="5" borderId="51" xfId="4" applyFont="1" applyFill="1" applyBorder="1" applyAlignment="1">
      <alignment vertical="center"/>
    </xf>
    <xf numFmtId="2" fontId="0" fillId="5" borderId="53" xfId="0" applyNumberFormat="1" applyFill="1" applyBorder="1" applyAlignment="1">
      <alignment vertical="center"/>
    </xf>
    <xf numFmtId="10" fontId="0" fillId="23" borderId="51" xfId="0" applyNumberFormat="1" applyFill="1" applyBorder="1" applyAlignment="1">
      <alignment vertical="center"/>
    </xf>
    <xf numFmtId="10" fontId="0" fillId="23" borderId="53" xfId="0" applyNumberForma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57" xfId="0" applyFill="1" applyBorder="1" applyAlignment="1">
      <alignment vertical="center"/>
    </xf>
    <xf numFmtId="0" fontId="0" fillId="4" borderId="0" xfId="0" applyFill="1"/>
    <xf numFmtId="2" fontId="0" fillId="4" borderId="0" xfId="0" applyNumberFormat="1" applyFill="1"/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9" fontId="0" fillId="4" borderId="0" xfId="0" applyNumberFormat="1" applyFill="1" applyAlignment="1">
      <alignment vertical="center"/>
    </xf>
    <xf numFmtId="0" fontId="2" fillId="23" borderId="50" xfId="0" applyFont="1" applyFill="1" applyBorder="1" applyAlignment="1">
      <alignment vertical="center"/>
    </xf>
    <xf numFmtId="0" fontId="0" fillId="0" borderId="49" xfId="0" applyBorder="1"/>
    <xf numFmtId="0" fontId="2" fillId="4" borderId="0" xfId="0" applyFont="1" applyFill="1"/>
    <xf numFmtId="0" fontId="2" fillId="0" borderId="54" xfId="0" applyFont="1" applyBorder="1" applyAlignment="1">
      <alignment vertical="center"/>
    </xf>
    <xf numFmtId="0" fontId="0" fillId="4" borderId="50" xfId="0" applyFill="1" applyBorder="1" applyAlignment="1">
      <alignment vertical="center"/>
    </xf>
    <xf numFmtId="0" fontId="0" fillId="4" borderId="70" xfId="0" applyFill="1" applyBorder="1" applyAlignment="1">
      <alignment vertical="center"/>
    </xf>
    <xf numFmtId="0" fontId="0" fillId="4" borderId="50" xfId="0" applyFill="1" applyBorder="1" applyAlignment="1">
      <alignment vertical="center" wrapText="1"/>
    </xf>
    <xf numFmtId="2" fontId="0" fillId="8" borderId="51" xfId="0" applyNumberFormat="1" applyFill="1" applyBorder="1" applyAlignment="1">
      <alignment vertical="center"/>
    </xf>
    <xf numFmtId="0" fontId="38" fillId="4" borderId="50" xfId="0" applyFont="1" applyFill="1" applyBorder="1" applyAlignment="1">
      <alignment vertical="center" wrapText="1"/>
    </xf>
    <xf numFmtId="43" fontId="0" fillId="4" borderId="71" xfId="4" applyFont="1" applyFill="1" applyBorder="1" applyAlignment="1">
      <alignment vertical="center"/>
    </xf>
    <xf numFmtId="0" fontId="0" fillId="4" borderId="41" xfId="0" applyFill="1" applyBorder="1" applyAlignment="1">
      <alignment vertical="center"/>
    </xf>
    <xf numFmtId="0" fontId="0" fillId="4" borderId="40" xfId="0" applyFill="1" applyBorder="1" applyAlignment="1">
      <alignment vertical="center"/>
    </xf>
    <xf numFmtId="0" fontId="0" fillId="4" borderId="39" xfId="0" applyFill="1" applyBorder="1" applyAlignment="1">
      <alignment vertical="center"/>
    </xf>
    <xf numFmtId="0" fontId="0" fillId="4" borderId="49" xfId="0" applyFill="1" applyBorder="1" applyAlignment="1">
      <alignment vertical="center"/>
    </xf>
    <xf numFmtId="2" fontId="0" fillId="8" borderId="50" xfId="0" applyNumberFormat="1" applyFill="1" applyBorder="1" applyAlignment="1">
      <alignment vertical="center"/>
    </xf>
    <xf numFmtId="0" fontId="0" fillId="4" borderId="55" xfId="0" applyFill="1" applyBorder="1" applyAlignment="1">
      <alignment vertical="center"/>
    </xf>
    <xf numFmtId="0" fontId="0" fillId="4" borderId="56" xfId="0" applyFill="1" applyBorder="1" applyAlignment="1">
      <alignment vertical="center"/>
    </xf>
    <xf numFmtId="164" fontId="0" fillId="24" borderId="0" xfId="0" applyNumberFormat="1" applyFill="1"/>
    <xf numFmtId="0" fontId="0" fillId="24" borderId="0" xfId="0" applyFill="1"/>
    <xf numFmtId="43" fontId="0" fillId="24" borderId="0" xfId="0" applyNumberFormat="1" applyFill="1" applyAlignment="1">
      <alignment vertical="center"/>
    </xf>
    <xf numFmtId="2" fontId="0" fillId="24" borderId="0" xfId="0" applyNumberFormat="1" applyFill="1"/>
    <xf numFmtId="44" fontId="0" fillId="24" borderId="0" xfId="0" applyNumberFormat="1" applyFill="1"/>
    <xf numFmtId="164" fontId="0" fillId="24" borderId="0" xfId="1" applyNumberFormat="1" applyFont="1" applyFill="1"/>
    <xf numFmtId="164" fontId="0" fillId="0" borderId="0" xfId="0" applyNumberFormat="1" applyAlignment="1">
      <alignment vertical="center"/>
    </xf>
    <xf numFmtId="164" fontId="0" fillId="23" borderId="0" xfId="0" applyNumberFormat="1" applyFill="1" applyAlignment="1">
      <alignment vertical="center"/>
    </xf>
    <xf numFmtId="164" fontId="0" fillId="5" borderId="0" xfId="0" applyNumberFormat="1" applyFill="1" applyAlignment="1">
      <alignment vertical="center"/>
    </xf>
    <xf numFmtId="44" fontId="0" fillId="6" borderId="0" xfId="0" applyNumberFormat="1" applyFill="1" applyAlignment="1">
      <alignment vertical="center"/>
    </xf>
    <xf numFmtId="43" fontId="0" fillId="8" borderId="69" xfId="0" applyNumberFormat="1" applyFill="1" applyBorder="1" applyAlignment="1">
      <alignment vertical="center"/>
    </xf>
    <xf numFmtId="0" fontId="0" fillId="0" borderId="58" xfId="0" applyBorder="1"/>
    <xf numFmtId="0" fontId="0" fillId="0" borderId="42" xfId="0" applyBorder="1"/>
    <xf numFmtId="0" fontId="0" fillId="0" borderId="40" xfId="0" applyBorder="1"/>
    <xf numFmtId="2" fontId="0" fillId="5" borderId="68" xfId="0" applyNumberFormat="1" applyFill="1" applyBorder="1" applyAlignment="1">
      <alignment vertical="center"/>
    </xf>
    <xf numFmtId="43" fontId="0" fillId="5" borderId="67" xfId="4" applyFont="1" applyFill="1" applyBorder="1" applyAlignment="1">
      <alignment vertical="center"/>
    </xf>
    <xf numFmtId="43" fontId="0" fillId="4" borderId="0" xfId="4" applyFont="1" applyFill="1" applyAlignment="1">
      <alignment horizontal="center" vertical="center"/>
    </xf>
    <xf numFmtId="43" fontId="0" fillId="4" borderId="0" xfId="4" applyFont="1" applyFill="1" applyAlignment="1">
      <alignment horizontal="center"/>
    </xf>
    <xf numFmtId="169" fontId="0" fillId="0" borderId="0" xfId="1" applyNumberFormat="1" applyFont="1" applyAlignment="1">
      <alignment horizontal="center" vertical="center"/>
    </xf>
    <xf numFmtId="169" fontId="0" fillId="8" borderId="0" xfId="1" applyNumberFormat="1" applyFont="1" applyFill="1" applyAlignment="1">
      <alignment horizontal="center" vertical="center"/>
    </xf>
    <xf numFmtId="169" fontId="0" fillId="8" borderId="0" xfId="1" applyNumberFormat="1" applyFont="1" applyFill="1" applyAlignment="1">
      <alignment horizontal="center"/>
    </xf>
    <xf numFmtId="43" fontId="0" fillId="6" borderId="51" xfId="4" applyFont="1" applyFill="1" applyBorder="1" applyAlignment="1">
      <alignment vertical="center"/>
    </xf>
    <xf numFmtId="0" fontId="0" fillId="0" borderId="43" xfId="0" applyBorder="1"/>
    <xf numFmtId="0" fontId="2" fillId="0" borderId="58" xfId="0" applyFont="1" applyBorder="1"/>
    <xf numFmtId="0" fontId="2" fillId="4" borderId="58" xfId="0" applyFont="1" applyFill="1" applyBorder="1"/>
    <xf numFmtId="0" fontId="0" fillId="4" borderId="58" xfId="0" applyFill="1" applyBorder="1"/>
    <xf numFmtId="164" fontId="0" fillId="0" borderId="41" xfId="1" applyNumberFormat="1" applyFont="1" applyBorder="1" applyAlignment="1">
      <alignment vertical="center"/>
    </xf>
    <xf numFmtId="43" fontId="0" fillId="0" borderId="0" xfId="4" applyFont="1" applyBorder="1" applyAlignment="1">
      <alignment vertical="center"/>
    </xf>
    <xf numFmtId="164" fontId="0" fillId="0" borderId="0" xfId="1" applyNumberFormat="1" applyFont="1" applyBorder="1" applyAlignment="1">
      <alignment vertical="center"/>
    </xf>
    <xf numFmtId="43" fontId="0" fillId="4" borderId="0" xfId="4" applyFont="1" applyFill="1" applyBorder="1" applyAlignment="1">
      <alignment horizontal="center" vertical="center"/>
    </xf>
    <xf numFmtId="169" fontId="0" fillId="0" borderId="0" xfId="1" applyNumberFormat="1" applyFont="1" applyBorder="1" applyAlignment="1">
      <alignment horizontal="center" vertical="center"/>
    </xf>
    <xf numFmtId="169" fontId="0" fillId="8" borderId="0" xfId="1" applyNumberFormat="1" applyFont="1" applyFill="1" applyBorder="1" applyAlignment="1">
      <alignment horizontal="center" vertical="center"/>
    </xf>
    <xf numFmtId="43" fontId="0" fillId="4" borderId="0" xfId="4" applyFont="1" applyFill="1" applyBorder="1" applyAlignment="1">
      <alignment horizontal="center"/>
    </xf>
    <xf numFmtId="0" fontId="0" fillId="0" borderId="41" xfId="0" applyBorder="1"/>
    <xf numFmtId="164" fontId="0" fillId="24" borderId="41" xfId="0" applyNumberFormat="1" applyFill="1" applyBorder="1"/>
    <xf numFmtId="164" fontId="0" fillId="24" borderId="0" xfId="1" applyNumberFormat="1" applyFont="1" applyFill="1" applyBorder="1"/>
    <xf numFmtId="0" fontId="0" fillId="0" borderId="39" xfId="0" applyBorder="1"/>
    <xf numFmtId="0" fontId="0" fillId="0" borderId="57" xfId="0" applyBorder="1"/>
    <xf numFmtId="0" fontId="0" fillId="4" borderId="57" xfId="0" applyFill="1" applyBorder="1"/>
    <xf numFmtId="44" fontId="0" fillId="0" borderId="57" xfId="0" applyNumberFormat="1" applyBorder="1"/>
    <xf numFmtId="164" fontId="0" fillId="0" borderId="57" xfId="1" applyNumberFormat="1" applyFont="1" applyBorder="1"/>
    <xf numFmtId="0" fontId="0" fillId="4" borderId="53" xfId="0" applyFill="1" applyBorder="1" applyAlignment="1">
      <alignment vertical="center"/>
    </xf>
    <xf numFmtId="9" fontId="0" fillId="4" borderId="50" xfId="0" applyNumberFormat="1" applyFill="1" applyBorder="1" applyAlignment="1">
      <alignment vertical="center"/>
    </xf>
    <xf numFmtId="9" fontId="0" fillId="4" borderId="0" xfId="2" applyFont="1" applyFill="1"/>
    <xf numFmtId="13" fontId="3" fillId="4" borderId="0" xfId="0" applyNumberFormat="1" applyFont="1" applyFill="1"/>
    <xf numFmtId="0" fontId="34" fillId="4" borderId="0" xfId="0" applyFont="1" applyFill="1" applyAlignment="1">
      <alignment horizontal="center" vertical="center" textRotation="180"/>
    </xf>
    <xf numFmtId="0" fontId="34" fillId="22" borderId="55" xfId="0" applyFont="1" applyFill="1" applyBorder="1" applyAlignment="1">
      <alignment horizontal="center" vertical="center"/>
    </xf>
    <xf numFmtId="0" fontId="34" fillId="22" borderId="56" xfId="0" applyFont="1" applyFill="1" applyBorder="1" applyAlignment="1">
      <alignment horizontal="center" vertical="center" textRotation="180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39" fillId="0" borderId="0" xfId="0" applyFont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vertical="center" wrapText="1"/>
    </xf>
    <xf numFmtId="0" fontId="46" fillId="4" borderId="0" xfId="0" applyFont="1" applyFill="1" applyAlignment="1">
      <alignment vertical="center" wrapText="1"/>
    </xf>
    <xf numFmtId="0" fontId="41" fillId="0" borderId="0" xfId="0" applyFont="1" applyAlignment="1">
      <alignment vertical="center"/>
    </xf>
    <xf numFmtId="0" fontId="36" fillId="4" borderId="0" xfId="0" applyFont="1" applyFill="1" applyAlignment="1">
      <alignment vertical="center" wrapText="1"/>
    </xf>
    <xf numFmtId="164" fontId="40" fillId="0" borderId="0" xfId="1" applyNumberFormat="1" applyFont="1" applyBorder="1" applyAlignment="1">
      <alignment vertical="center"/>
    </xf>
    <xf numFmtId="164" fontId="40" fillId="0" borderId="0" xfId="1" applyNumberFormat="1" applyFont="1" applyAlignment="1">
      <alignment vertical="center"/>
    </xf>
    <xf numFmtId="10" fontId="40" fillId="0" borderId="0" xfId="0" applyNumberFormat="1" applyFont="1" applyAlignment="1">
      <alignment vertical="center"/>
    </xf>
    <xf numFmtId="0" fontId="0" fillId="28" borderId="0" xfId="0" applyFill="1" applyAlignment="1">
      <alignment horizontal="center" vertical="center"/>
    </xf>
    <xf numFmtId="0" fontId="0" fillId="28" borderId="0" xfId="0" applyFill="1"/>
    <xf numFmtId="0" fontId="0" fillId="28" borderId="0" xfId="0" applyFill="1" applyAlignment="1">
      <alignment vertical="center"/>
    </xf>
    <xf numFmtId="10" fontId="40" fillId="0" borderId="0" xfId="2" applyNumberFormat="1" applyFont="1" applyBorder="1" applyAlignment="1">
      <alignment vertical="center"/>
    </xf>
    <xf numFmtId="0" fontId="47" fillId="29" borderId="55" xfId="0" applyFont="1" applyFill="1" applyBorder="1" applyAlignment="1">
      <alignment vertical="center"/>
    </xf>
    <xf numFmtId="164" fontId="49" fillId="6" borderId="0" xfId="1" applyNumberFormat="1" applyFont="1" applyFill="1" applyAlignment="1">
      <alignment vertical="center"/>
    </xf>
    <xf numFmtId="10" fontId="49" fillId="6" borderId="0" xfId="0" applyNumberFormat="1" applyFont="1" applyFill="1" applyAlignment="1">
      <alignment vertical="center"/>
    </xf>
    <xf numFmtId="10" fontId="49" fillId="6" borderId="0" xfId="2" applyNumberFormat="1" applyFont="1" applyFill="1" applyAlignment="1">
      <alignment vertical="center"/>
    </xf>
    <xf numFmtId="10" fontId="40" fillId="7" borderId="0" xfId="2" applyNumberFormat="1" applyFont="1" applyFill="1" applyBorder="1" applyAlignment="1">
      <alignment vertical="center"/>
    </xf>
    <xf numFmtId="164" fontId="40" fillId="22" borderId="0" xfId="0" applyNumberFormat="1" applyFont="1" applyFill="1" applyAlignment="1">
      <alignment vertical="center"/>
    </xf>
    <xf numFmtId="0" fontId="40" fillId="2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9" fontId="9" fillId="10" borderId="0" xfId="2" applyFont="1" applyFill="1" applyAlignment="1">
      <alignment horizontal="center" vertical="center"/>
    </xf>
    <xf numFmtId="0" fontId="34" fillId="4" borderId="0" xfId="0" applyFont="1" applyFill="1" applyAlignment="1">
      <alignment horizontal="center" vertical="center"/>
    </xf>
    <xf numFmtId="43" fontId="0" fillId="8" borderId="50" xfId="4" applyFont="1" applyFill="1" applyBorder="1" applyAlignment="1">
      <alignment vertical="center"/>
    </xf>
    <xf numFmtId="43" fontId="0" fillId="4" borderId="0" xfId="4" applyFont="1" applyFill="1" applyAlignment="1">
      <alignment vertical="center"/>
    </xf>
    <xf numFmtId="164" fontId="49" fillId="7" borderId="0" xfId="1" applyNumberFormat="1" applyFont="1" applyFill="1" applyAlignment="1">
      <alignment vertical="center"/>
    </xf>
    <xf numFmtId="10" fontId="49" fillId="7" borderId="0" xfId="4" applyNumberFormat="1" applyFont="1" applyFill="1" applyAlignment="1">
      <alignment vertical="center"/>
    </xf>
    <xf numFmtId="164" fontId="47" fillId="29" borderId="55" xfId="1" applyNumberFormat="1" applyFont="1" applyFill="1" applyBorder="1" applyAlignment="1">
      <alignment vertical="center"/>
    </xf>
    <xf numFmtId="0" fontId="48" fillId="28" borderId="51" xfId="0" applyFont="1" applyFill="1" applyBorder="1" applyAlignment="1">
      <alignment horizontal="center" vertical="center"/>
    </xf>
    <xf numFmtId="0" fontId="47" fillId="28" borderId="52" xfId="0" applyFont="1" applyFill="1" applyBorder="1" applyAlignment="1">
      <alignment horizontal="center" vertical="center"/>
    </xf>
    <xf numFmtId="0" fontId="48" fillId="28" borderId="52" xfId="0" applyFont="1" applyFill="1" applyBorder="1" applyAlignment="1">
      <alignment horizontal="center" vertical="center"/>
    </xf>
    <xf numFmtId="0" fontId="48" fillId="28" borderId="52" xfId="0" applyFont="1" applyFill="1" applyBorder="1" applyAlignment="1">
      <alignment horizontal="center" vertical="center" wrapText="1"/>
    </xf>
    <xf numFmtId="0" fontId="48" fillId="28" borderId="53" xfId="0" applyFont="1" applyFill="1" applyBorder="1" applyAlignment="1">
      <alignment horizontal="center" vertical="center" wrapText="1"/>
    </xf>
    <xf numFmtId="10" fontId="12" fillId="4" borderId="0" xfId="2" applyNumberFormat="1" applyFont="1" applyFill="1" applyBorder="1" applyAlignment="1">
      <alignment horizontal="center" vertical="center"/>
    </xf>
    <xf numFmtId="0" fontId="34" fillId="22" borderId="41" xfId="0" applyFont="1" applyFill="1" applyBorder="1" applyAlignment="1">
      <alignment horizontal="center" vertical="center" textRotation="180"/>
    </xf>
    <xf numFmtId="0" fontId="34" fillId="22" borderId="39" xfId="0" applyFont="1" applyFill="1" applyBorder="1" applyAlignment="1">
      <alignment horizontal="center" vertical="center" textRotation="180"/>
    </xf>
    <xf numFmtId="169" fontId="12" fillId="4" borderId="0" xfId="1" applyNumberFormat="1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left" vertical="center"/>
    </xf>
    <xf numFmtId="164" fontId="0" fillId="5" borderId="0" xfId="0" applyNumberFormat="1" applyFill="1"/>
    <xf numFmtId="0" fontId="49" fillId="0" borderId="0" xfId="0" applyFont="1" applyAlignment="1">
      <alignment vertical="center" wrapText="1"/>
    </xf>
    <xf numFmtId="0" fontId="47" fillId="29" borderId="87" xfId="0" applyFont="1" applyFill="1" applyBorder="1" applyAlignment="1">
      <alignment vertical="center"/>
    </xf>
    <xf numFmtId="0" fontId="3" fillId="0" borderId="0" xfId="0" applyFont="1" applyAlignment="1">
      <alignment vertical="center" wrapText="1"/>
    </xf>
    <xf numFmtId="10" fontId="49" fillId="6" borderId="0" xfId="4" applyNumberFormat="1" applyFont="1" applyFill="1" applyAlignment="1">
      <alignment vertical="center"/>
    </xf>
    <xf numFmtId="165" fontId="49" fillId="6" borderId="0" xfId="4" applyNumberFormat="1" applyFont="1" applyFill="1" applyAlignment="1">
      <alignment vertical="center"/>
    </xf>
    <xf numFmtId="10" fontId="40" fillId="6" borderId="0" xfId="2" applyNumberFormat="1" applyFont="1" applyFill="1" applyBorder="1" applyAlignment="1">
      <alignment vertical="center"/>
    </xf>
    <xf numFmtId="10" fontId="36" fillId="4" borderId="0" xfId="2" applyNumberFormat="1" applyFont="1" applyFill="1" applyBorder="1" applyAlignment="1">
      <alignment horizontal="center" vertical="center"/>
    </xf>
    <xf numFmtId="169" fontId="36" fillId="4" borderId="0" xfId="1" applyNumberFormat="1" applyFont="1" applyFill="1" applyBorder="1" applyAlignment="1">
      <alignment horizontal="center" vertical="center"/>
    </xf>
    <xf numFmtId="0" fontId="36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36" fillId="4" borderId="0" xfId="0" applyFont="1" applyFill="1" applyAlignment="1">
      <alignment vertical="center"/>
    </xf>
    <xf numFmtId="0" fontId="37" fillId="4" borderId="0" xfId="0" applyFont="1" applyFill="1" applyAlignment="1">
      <alignment horizontal="center" vertical="center"/>
    </xf>
    <xf numFmtId="169" fontId="12" fillId="4" borderId="0" xfId="0" applyNumberFormat="1" applyFont="1" applyFill="1" applyAlignment="1">
      <alignment horizontal="center" vertical="center"/>
    </xf>
    <xf numFmtId="0" fontId="32" fillId="4" borderId="0" xfId="0" applyFont="1" applyFill="1" applyAlignment="1">
      <alignment horizontal="center" vertical="center"/>
    </xf>
    <xf numFmtId="0" fontId="35" fillId="4" borderId="0" xfId="0" applyFont="1" applyFill="1" applyAlignment="1">
      <alignment horizontal="center" vertical="center" textRotation="180"/>
    </xf>
    <xf numFmtId="0" fontId="33" fillId="4" borderId="0" xfId="0" applyFont="1" applyFill="1" applyAlignment="1">
      <alignment horizontal="center" vertical="center" textRotation="180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44" fontId="0" fillId="5" borderId="0" xfId="0" applyNumberFormat="1" applyFill="1" applyAlignment="1">
      <alignment horizontal="center"/>
    </xf>
    <xf numFmtId="164" fontId="0" fillId="5" borderId="0" xfId="1" applyNumberFormat="1" applyFont="1" applyFill="1" applyAlignment="1">
      <alignment horizontal="center"/>
    </xf>
    <xf numFmtId="43" fontId="0" fillId="0" borderId="0" xfId="4" applyFont="1" applyAlignment="1">
      <alignment horizontal="center"/>
    </xf>
    <xf numFmtId="164" fontId="0" fillId="0" borderId="0" xfId="1" applyNumberFormat="1" applyFont="1" applyAlignment="1">
      <alignment horizontal="center"/>
    </xf>
    <xf numFmtId="44" fontId="0" fillId="0" borderId="0" xfId="0" applyNumberFormat="1" applyAlignment="1">
      <alignment horizontal="center"/>
    </xf>
    <xf numFmtId="0" fontId="0" fillId="4" borderId="50" xfId="0" applyFill="1" applyBorder="1" applyAlignment="1">
      <alignment horizontal="center"/>
    </xf>
    <xf numFmtId="169" fontId="0" fillId="0" borderId="0" xfId="1" applyNumberFormat="1" applyFont="1" applyAlignment="1">
      <alignment horizontal="center"/>
    </xf>
    <xf numFmtId="0" fontId="38" fillId="4" borderId="50" xfId="0" applyFont="1" applyFill="1" applyBorder="1" applyAlignment="1">
      <alignment horizontal="center" wrapText="1"/>
    </xf>
    <xf numFmtId="43" fontId="0" fillId="5" borderId="0" xfId="0" applyNumberFormat="1" applyFill="1" applyAlignment="1">
      <alignment horizontal="center"/>
    </xf>
    <xf numFmtId="0" fontId="51" fillId="30" borderId="85" xfId="0" applyFont="1" applyFill="1" applyBorder="1" applyAlignment="1">
      <alignment vertical="center"/>
    </xf>
    <xf numFmtId="0" fontId="53" fillId="0" borderId="0" xfId="0" applyFont="1"/>
    <xf numFmtId="0" fontId="53" fillId="4" borderId="0" xfId="0" applyFont="1" applyFill="1"/>
    <xf numFmtId="0" fontId="42" fillId="31" borderId="85" xfId="0" applyFont="1" applyFill="1" applyBorder="1" applyAlignment="1">
      <alignment vertical="center"/>
    </xf>
    <xf numFmtId="0" fontId="12" fillId="0" borderId="0" xfId="0" applyFont="1"/>
    <xf numFmtId="0" fontId="53" fillId="0" borderId="58" xfId="0" applyFont="1" applyBorder="1"/>
    <xf numFmtId="0" fontId="53" fillId="4" borderId="58" xfId="0" applyFont="1" applyFill="1" applyBorder="1"/>
    <xf numFmtId="164" fontId="52" fillId="23" borderId="85" xfId="0" applyNumberFormat="1" applyFont="1" applyFill="1" applyBorder="1" applyAlignment="1">
      <alignment vertical="center"/>
    </xf>
    <xf numFmtId="10" fontId="52" fillId="23" borderId="85" xfId="2" applyNumberFormat="1" applyFont="1" applyFill="1" applyBorder="1" applyAlignment="1">
      <alignment vertical="center"/>
    </xf>
    <xf numFmtId="0" fontId="52" fillId="23" borderId="85" xfId="0" applyFont="1" applyFill="1" applyBorder="1" applyAlignment="1">
      <alignment vertical="center"/>
    </xf>
    <xf numFmtId="0" fontId="52" fillId="23" borderId="86" xfId="0" applyFont="1" applyFill="1" applyBorder="1" applyAlignment="1">
      <alignment vertical="center"/>
    </xf>
    <xf numFmtId="164" fontId="52" fillId="23" borderId="85" xfId="1" applyNumberFormat="1" applyFont="1" applyFill="1" applyBorder="1" applyAlignment="1">
      <alignment vertical="center"/>
    </xf>
    <xf numFmtId="10" fontId="52" fillId="7" borderId="86" xfId="2" applyNumberFormat="1" applyFont="1" applyFill="1" applyBorder="1" applyAlignment="1">
      <alignment vertical="center"/>
    </xf>
    <xf numFmtId="164" fontId="52" fillId="6" borderId="85" xfId="0" applyNumberFormat="1" applyFont="1" applyFill="1" applyBorder="1" applyAlignment="1">
      <alignment vertical="center"/>
    </xf>
    <xf numFmtId="0" fontId="52" fillId="6" borderId="85" xfId="0" applyFont="1" applyFill="1" applyBorder="1" applyAlignment="1">
      <alignment vertical="center"/>
    </xf>
    <xf numFmtId="0" fontId="52" fillId="6" borderId="86" xfId="0" applyFont="1" applyFill="1" applyBorder="1" applyAlignment="1">
      <alignment vertical="center"/>
    </xf>
    <xf numFmtId="164" fontId="52" fillId="6" borderId="85" xfId="1" applyNumberFormat="1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10" fontId="52" fillId="6" borderId="85" xfId="0" applyNumberFormat="1" applyFont="1" applyFill="1" applyBorder="1" applyAlignment="1">
      <alignment vertical="center"/>
    </xf>
    <xf numFmtId="10" fontId="52" fillId="6" borderId="86" xfId="2" applyNumberFormat="1" applyFont="1" applyFill="1" applyBorder="1" applyAlignment="1">
      <alignment vertical="center"/>
    </xf>
    <xf numFmtId="10" fontId="52" fillId="23" borderId="85" xfId="0" applyNumberFormat="1" applyFont="1" applyFill="1" applyBorder="1" applyAlignment="1">
      <alignment vertical="center"/>
    </xf>
    <xf numFmtId="0" fontId="9" fillId="28" borderId="0" xfId="0" applyFont="1" applyFill="1" applyAlignment="1">
      <alignment horizontal="center" vertical="center"/>
    </xf>
    <xf numFmtId="0" fontId="9" fillId="28" borderId="0" xfId="0" applyFont="1" applyFill="1" applyAlignment="1">
      <alignment vertical="center"/>
    </xf>
    <xf numFmtId="0" fontId="51" fillId="30" borderId="84" xfId="0" applyFont="1" applyFill="1" applyBorder="1" applyAlignment="1">
      <alignment vertical="center"/>
    </xf>
    <xf numFmtId="0" fontId="51" fillId="30" borderId="85" xfId="0" applyFont="1" applyFill="1" applyBorder="1" applyAlignment="1">
      <alignment horizontal="center" vertical="center"/>
    </xf>
    <xf numFmtId="0" fontId="51" fillId="30" borderId="85" xfId="0" applyFont="1" applyFill="1" applyBorder="1" applyAlignment="1">
      <alignment vertical="center" wrapText="1"/>
    </xf>
    <xf numFmtId="0" fontId="51" fillId="30" borderId="86" xfId="0" applyFont="1" applyFill="1" applyBorder="1" applyAlignment="1">
      <alignment vertical="center" wrapText="1"/>
    </xf>
    <xf numFmtId="170" fontId="0" fillId="0" borderId="0" xfId="1" applyNumberFormat="1" applyFont="1"/>
    <xf numFmtId="6" fontId="0" fillId="0" borderId="0" xfId="0" applyNumberFormat="1"/>
    <xf numFmtId="0" fontId="10" fillId="25" borderId="12" xfId="0" applyFont="1" applyFill="1" applyBorder="1" applyAlignment="1">
      <alignment horizontal="center" vertical="center"/>
    </xf>
    <xf numFmtId="0" fontId="6" fillId="25" borderId="0" xfId="0" applyFont="1" applyFill="1" applyAlignment="1">
      <alignment horizontal="center" vertical="center"/>
    </xf>
    <xf numFmtId="0" fontId="6" fillId="25" borderId="14" xfId="0" applyFont="1" applyFill="1" applyBorder="1" applyAlignment="1">
      <alignment horizontal="center" vertical="center"/>
    </xf>
    <xf numFmtId="0" fontId="6" fillId="25" borderId="16" xfId="0" applyFont="1" applyFill="1" applyBorder="1" applyAlignment="1">
      <alignment horizontal="center" vertical="center"/>
    </xf>
    <xf numFmtId="0" fontId="6" fillId="25" borderId="4" xfId="0" applyFont="1" applyFill="1" applyBorder="1" applyAlignment="1">
      <alignment horizontal="center" vertical="center" wrapText="1"/>
    </xf>
    <xf numFmtId="0" fontId="6" fillId="25" borderId="16" xfId="0" applyFont="1" applyFill="1" applyBorder="1" applyAlignment="1">
      <alignment horizontal="center" vertical="center" wrapText="1"/>
    </xf>
    <xf numFmtId="0" fontId="6" fillId="25" borderId="5" xfId="0" applyFont="1" applyFill="1" applyBorder="1" applyAlignment="1">
      <alignment horizontal="center" vertical="center" wrapText="1"/>
    </xf>
    <xf numFmtId="0" fontId="6" fillId="25" borderId="13" xfId="0" applyFont="1" applyFill="1" applyBorder="1"/>
    <xf numFmtId="0" fontId="7" fillId="25" borderId="1" xfId="0" applyFont="1" applyFill="1" applyBorder="1"/>
    <xf numFmtId="0" fontId="6" fillId="25" borderId="15" xfId="0" applyFont="1" applyFill="1" applyBorder="1" applyAlignment="1">
      <alignment horizontal="center"/>
    </xf>
    <xf numFmtId="0" fontId="6" fillId="25" borderId="17" xfId="0" applyFont="1" applyFill="1" applyBorder="1" applyAlignment="1">
      <alignment horizontal="center"/>
    </xf>
    <xf numFmtId="0" fontId="6" fillId="25" borderId="1" xfId="0" applyFont="1" applyFill="1" applyBorder="1" applyAlignment="1">
      <alignment horizontal="center"/>
    </xf>
    <xf numFmtId="0" fontId="6" fillId="25" borderId="8" xfId="0" applyFont="1" applyFill="1" applyBorder="1" applyAlignment="1">
      <alignment horizontal="center"/>
    </xf>
    <xf numFmtId="0" fontId="8" fillId="25" borderId="10" xfId="0" applyFont="1" applyFill="1" applyBorder="1"/>
    <xf numFmtId="0" fontId="8" fillId="25" borderId="0" xfId="0" applyFont="1" applyFill="1"/>
    <xf numFmtId="164" fontId="8" fillId="25" borderId="10" xfId="1" applyNumberFormat="1" applyFont="1" applyFill="1" applyBorder="1"/>
    <xf numFmtId="10" fontId="8" fillId="25" borderId="2" xfId="2" applyNumberFormat="1" applyFont="1" applyFill="1" applyBorder="1"/>
    <xf numFmtId="0" fontId="9" fillId="25" borderId="10" xfId="0" applyFont="1" applyFill="1" applyBorder="1"/>
    <xf numFmtId="0" fontId="9" fillId="25" borderId="0" xfId="0" applyFont="1" applyFill="1"/>
    <xf numFmtId="10" fontId="9" fillId="25" borderId="11" xfId="2" applyNumberFormat="1" applyFont="1" applyFill="1" applyBorder="1"/>
    <xf numFmtId="10" fontId="9" fillId="25" borderId="1" xfId="2" applyNumberFormat="1" applyFont="1" applyFill="1" applyBorder="1"/>
    <xf numFmtId="0" fontId="9" fillId="25" borderId="8" xfId="0" applyFont="1" applyFill="1" applyBorder="1"/>
    <xf numFmtId="0" fontId="10" fillId="25" borderId="0" xfId="3" applyFont="1" applyFill="1" applyAlignment="1">
      <alignment horizontal="center" vertical="center"/>
    </xf>
    <xf numFmtId="0" fontId="4" fillId="25" borderId="0" xfId="3" applyFill="1"/>
    <xf numFmtId="0" fontId="9" fillId="25" borderId="0" xfId="3" applyFont="1" applyFill="1"/>
    <xf numFmtId="0" fontId="6" fillId="25" borderId="22" xfId="0" applyFont="1" applyFill="1" applyBorder="1" applyAlignment="1">
      <alignment horizontal="center"/>
    </xf>
    <xf numFmtId="0" fontId="6" fillId="25" borderId="2" xfId="0" applyFont="1" applyFill="1" applyBorder="1" applyAlignment="1">
      <alignment horizontal="center"/>
    </xf>
    <xf numFmtId="10" fontId="9" fillId="25" borderId="2" xfId="2" applyNumberFormat="1" applyFont="1" applyFill="1" applyBorder="1"/>
    <xf numFmtId="0" fontId="10" fillId="25" borderId="0" xfId="0" applyFont="1" applyFill="1" applyAlignment="1">
      <alignment horizontal="center" vertical="center"/>
    </xf>
    <xf numFmtId="0" fontId="0" fillId="25" borderId="0" xfId="0" applyFill="1"/>
    <xf numFmtId="0" fontId="6" fillId="25" borderId="23" xfId="0" applyFont="1" applyFill="1" applyBorder="1" applyAlignment="1">
      <alignment horizontal="center" vertical="center"/>
    </xf>
    <xf numFmtId="0" fontId="6" fillId="25" borderId="23" xfId="0" applyFont="1" applyFill="1" applyBorder="1" applyAlignment="1">
      <alignment horizontal="center" vertical="center" wrapText="1"/>
    </xf>
    <xf numFmtId="0" fontId="6" fillId="25" borderId="25" xfId="0" applyFont="1" applyFill="1" applyBorder="1" applyAlignment="1">
      <alignment horizontal="center"/>
    </xf>
    <xf numFmtId="0" fontId="6" fillId="25" borderId="0" xfId="0" applyFont="1" applyFill="1" applyAlignment="1">
      <alignment horizontal="center"/>
    </xf>
    <xf numFmtId="0" fontId="8" fillId="25" borderId="12" xfId="0" applyFont="1" applyFill="1" applyBorder="1"/>
    <xf numFmtId="0" fontId="8" fillId="25" borderId="28" xfId="0" applyFont="1" applyFill="1" applyBorder="1"/>
    <xf numFmtId="164" fontId="8" fillId="25" borderId="23" xfId="1" applyNumberFormat="1" applyFont="1" applyFill="1" applyBorder="1"/>
    <xf numFmtId="10" fontId="9" fillId="25" borderId="5" xfId="2" applyNumberFormat="1" applyFont="1" applyFill="1" applyBorder="1"/>
    <xf numFmtId="0" fontId="9" fillId="25" borderId="1" xfId="0" applyFont="1" applyFill="1" applyBorder="1"/>
    <xf numFmtId="10" fontId="9" fillId="25" borderId="24" xfId="2" applyNumberFormat="1" applyFont="1" applyFill="1" applyBorder="1"/>
    <xf numFmtId="10" fontId="9" fillId="25" borderId="8" xfId="2" applyNumberFormat="1" applyFont="1" applyFill="1" applyBorder="1"/>
    <xf numFmtId="0" fontId="6" fillId="25" borderId="24" xfId="0" applyFont="1" applyFill="1" applyBorder="1" applyAlignment="1">
      <alignment horizontal="center"/>
    </xf>
    <xf numFmtId="0" fontId="6" fillId="25" borderId="21" xfId="0" applyFont="1" applyFill="1" applyBorder="1" applyAlignment="1">
      <alignment horizontal="center"/>
    </xf>
    <xf numFmtId="164" fontId="8" fillId="25" borderId="25" xfId="1" applyNumberFormat="1" applyFont="1" applyFill="1" applyBorder="1"/>
    <xf numFmtId="0" fontId="8" fillId="25" borderId="27" xfId="0" applyFont="1" applyFill="1" applyBorder="1"/>
    <xf numFmtId="10" fontId="8" fillId="25" borderId="25" xfId="2" applyNumberFormat="1" applyFont="1" applyFill="1" applyBorder="1"/>
    <xf numFmtId="0" fontId="6" fillId="25" borderId="27" xfId="0" applyFont="1" applyFill="1" applyBorder="1"/>
    <xf numFmtId="0" fontId="7" fillId="25" borderId="0" xfId="0" applyFont="1" applyFill="1"/>
    <xf numFmtId="0" fontId="8" fillId="25" borderId="9" xfId="0" applyFont="1" applyFill="1" applyBorder="1"/>
    <xf numFmtId="0" fontId="8" fillId="25" borderId="4" xfId="0" applyFont="1" applyFill="1" applyBorder="1"/>
    <xf numFmtId="164" fontId="8" fillId="25" borderId="9" xfId="1" applyNumberFormat="1" applyFont="1" applyFill="1" applyBorder="1"/>
    <xf numFmtId="10" fontId="8" fillId="25" borderId="5" xfId="2" applyNumberFormat="1" applyFont="1" applyFill="1" applyBorder="1"/>
    <xf numFmtId="164" fontId="9" fillId="25" borderId="10" xfId="1" applyNumberFormat="1" applyFont="1" applyFill="1" applyBorder="1"/>
    <xf numFmtId="164" fontId="9" fillId="25" borderId="10" xfId="2" applyNumberFormat="1" applyFont="1" applyFill="1" applyBorder="1"/>
    <xf numFmtId="0" fontId="9" fillId="25" borderId="2" xfId="0" applyFont="1" applyFill="1" applyBorder="1"/>
    <xf numFmtId="164" fontId="0" fillId="25" borderId="11" xfId="2" applyNumberFormat="1" applyFont="1" applyFill="1" applyBorder="1"/>
    <xf numFmtId="0" fontId="9" fillId="25" borderId="4" xfId="0" applyFont="1" applyFill="1" applyBorder="1"/>
    <xf numFmtId="164" fontId="9" fillId="25" borderId="9" xfId="1" applyNumberFormat="1" applyFont="1" applyFill="1" applyBorder="1"/>
    <xf numFmtId="164" fontId="9" fillId="25" borderId="4" xfId="1" applyNumberFormat="1" applyFont="1" applyFill="1" applyBorder="1"/>
    <xf numFmtId="0" fontId="8" fillId="25" borderId="2" xfId="0" applyFont="1" applyFill="1" applyBorder="1"/>
    <xf numFmtId="0" fontId="0" fillId="25" borderId="1" xfId="0" applyFill="1" applyBorder="1"/>
    <xf numFmtId="164" fontId="0" fillId="25" borderId="11" xfId="1" applyNumberFormat="1" applyFont="1" applyFill="1" applyBorder="1"/>
    <xf numFmtId="10" fontId="9" fillId="25" borderId="10" xfId="2" applyNumberFormat="1" applyFont="1" applyFill="1" applyBorder="1"/>
    <xf numFmtId="10" fontId="0" fillId="25" borderId="11" xfId="2" applyNumberFormat="1" applyFont="1" applyFill="1" applyBorder="1"/>
    <xf numFmtId="0" fontId="10" fillId="25" borderId="88" xfId="0" applyFont="1" applyFill="1" applyBorder="1" applyAlignment="1">
      <alignment horizontal="center" vertical="center"/>
    </xf>
    <xf numFmtId="0" fontId="6" fillId="25" borderId="26" xfId="0" applyFont="1" applyFill="1" applyBorder="1"/>
    <xf numFmtId="0" fontId="10" fillId="32" borderId="12" xfId="0" applyFont="1" applyFill="1" applyBorder="1" applyAlignment="1">
      <alignment horizontal="center" vertical="center"/>
    </xf>
    <xf numFmtId="0" fontId="6" fillId="32" borderId="0" xfId="0" applyFont="1" applyFill="1" applyAlignment="1">
      <alignment horizontal="center" vertical="center"/>
    </xf>
    <xf numFmtId="0" fontId="6" fillId="32" borderId="14" xfId="0" applyFont="1" applyFill="1" applyBorder="1" applyAlignment="1">
      <alignment horizontal="center" vertical="center"/>
    </xf>
    <xf numFmtId="0" fontId="6" fillId="32" borderId="16" xfId="0" applyFont="1" applyFill="1" applyBorder="1" applyAlignment="1">
      <alignment horizontal="center" vertical="center"/>
    </xf>
    <xf numFmtId="0" fontId="6" fillId="32" borderId="4" xfId="0" applyFont="1" applyFill="1" applyBorder="1" applyAlignment="1">
      <alignment horizontal="center" vertical="center" wrapText="1"/>
    </xf>
    <xf numFmtId="0" fontId="6" fillId="32" borderId="16" xfId="0" applyFont="1" applyFill="1" applyBorder="1" applyAlignment="1">
      <alignment horizontal="center" vertical="center" wrapText="1"/>
    </xf>
    <xf numFmtId="0" fontId="6" fillId="32" borderId="5" xfId="0" applyFont="1" applyFill="1" applyBorder="1" applyAlignment="1">
      <alignment horizontal="center" vertical="center" wrapText="1"/>
    </xf>
    <xf numFmtId="0" fontId="6" fillId="32" borderId="13" xfId="0" applyFont="1" applyFill="1" applyBorder="1"/>
    <xf numFmtId="0" fontId="7" fillId="32" borderId="1" xfId="0" applyFont="1" applyFill="1" applyBorder="1"/>
    <xf numFmtId="0" fontId="6" fillId="32" borderId="15" xfId="0" applyFont="1" applyFill="1" applyBorder="1" applyAlignment="1">
      <alignment horizontal="center"/>
    </xf>
    <xf numFmtId="0" fontId="6" fillId="32" borderId="17" xfId="0" applyFont="1" applyFill="1" applyBorder="1" applyAlignment="1">
      <alignment horizontal="center"/>
    </xf>
    <xf numFmtId="0" fontId="6" fillId="32" borderId="1" xfId="0" applyFont="1" applyFill="1" applyBorder="1" applyAlignment="1">
      <alignment horizontal="center"/>
    </xf>
    <xf numFmtId="0" fontId="6" fillId="32" borderId="8" xfId="0" applyFont="1" applyFill="1" applyBorder="1" applyAlignment="1">
      <alignment horizontal="center"/>
    </xf>
    <xf numFmtId="0" fontId="0" fillId="32" borderId="0" xfId="0" applyFill="1"/>
    <xf numFmtId="0" fontId="8" fillId="32" borderId="10" xfId="0" applyFont="1" applyFill="1" applyBorder="1"/>
    <xf numFmtId="0" fontId="8" fillId="32" borderId="0" xfId="0" applyFont="1" applyFill="1"/>
    <xf numFmtId="164" fontId="8" fillId="32" borderId="10" xfId="1" applyNumberFormat="1" applyFont="1" applyFill="1" applyBorder="1"/>
    <xf numFmtId="10" fontId="8" fillId="32" borderId="2" xfId="2" applyNumberFormat="1" applyFont="1" applyFill="1" applyBorder="1"/>
    <xf numFmtId="0" fontId="9" fillId="32" borderId="10" xfId="0" applyFont="1" applyFill="1" applyBorder="1"/>
    <xf numFmtId="0" fontId="9" fillId="32" borderId="0" xfId="0" applyFont="1" applyFill="1"/>
    <xf numFmtId="10" fontId="9" fillId="32" borderId="11" xfId="2" applyNumberFormat="1" applyFont="1" applyFill="1" applyBorder="1"/>
    <xf numFmtId="10" fontId="9" fillId="32" borderId="1" xfId="2" applyNumberFormat="1" applyFont="1" applyFill="1" applyBorder="1"/>
    <xf numFmtId="0" fontId="9" fillId="32" borderId="8" xfId="0" applyFont="1" applyFill="1" applyBorder="1"/>
    <xf numFmtId="0" fontId="10" fillId="32" borderId="0" xfId="3" applyFont="1" applyFill="1" applyAlignment="1">
      <alignment horizontal="center" vertical="center"/>
    </xf>
    <xf numFmtId="0" fontId="4" fillId="32" borderId="0" xfId="3" applyFill="1"/>
    <xf numFmtId="0" fontId="9" fillId="32" borderId="0" xfId="3" applyFont="1" applyFill="1"/>
    <xf numFmtId="0" fontId="6" fillId="32" borderId="22" xfId="0" applyFont="1" applyFill="1" applyBorder="1" applyAlignment="1">
      <alignment horizontal="center"/>
    </xf>
    <xf numFmtId="0" fontId="6" fillId="32" borderId="2" xfId="0" applyFont="1" applyFill="1" applyBorder="1" applyAlignment="1">
      <alignment horizontal="center"/>
    </xf>
    <xf numFmtId="0" fontId="10" fillId="32" borderId="0" xfId="0" applyFont="1" applyFill="1" applyAlignment="1">
      <alignment horizontal="center" vertical="center"/>
    </xf>
    <xf numFmtId="0" fontId="6" fillId="32" borderId="23" xfId="0" applyFont="1" applyFill="1" applyBorder="1" applyAlignment="1">
      <alignment horizontal="center" vertical="center"/>
    </xf>
    <xf numFmtId="0" fontId="6" fillId="32" borderId="23" xfId="0" applyFont="1" applyFill="1" applyBorder="1" applyAlignment="1">
      <alignment horizontal="center" vertical="center" wrapText="1"/>
    </xf>
    <xf numFmtId="0" fontId="6" fillId="32" borderId="25" xfId="0" applyFont="1" applyFill="1" applyBorder="1" applyAlignment="1">
      <alignment horizontal="center"/>
    </xf>
    <xf numFmtId="0" fontId="6" fillId="32" borderId="0" xfId="0" applyFont="1" applyFill="1" applyAlignment="1">
      <alignment horizontal="center"/>
    </xf>
    <xf numFmtId="0" fontId="8" fillId="32" borderId="12" xfId="0" applyFont="1" applyFill="1" applyBorder="1"/>
    <xf numFmtId="0" fontId="8" fillId="32" borderId="28" xfId="0" applyFont="1" applyFill="1" applyBorder="1"/>
    <xf numFmtId="164" fontId="8" fillId="32" borderId="23" xfId="1" applyNumberFormat="1" applyFont="1" applyFill="1" applyBorder="1"/>
    <xf numFmtId="10" fontId="9" fillId="32" borderId="5" xfId="2" applyNumberFormat="1" applyFont="1" applyFill="1" applyBorder="1"/>
    <xf numFmtId="0" fontId="9" fillId="32" borderId="1" xfId="0" applyFont="1" applyFill="1" applyBorder="1"/>
    <xf numFmtId="10" fontId="9" fillId="32" borderId="24" xfId="2" applyNumberFormat="1" applyFont="1" applyFill="1" applyBorder="1"/>
    <xf numFmtId="10" fontId="9" fillId="32" borderId="8" xfId="2" applyNumberFormat="1" applyFont="1" applyFill="1" applyBorder="1"/>
    <xf numFmtId="0" fontId="6" fillId="32" borderId="24" xfId="0" applyFont="1" applyFill="1" applyBorder="1" applyAlignment="1">
      <alignment horizontal="center"/>
    </xf>
    <xf numFmtId="0" fontId="6" fillId="32" borderId="21" xfId="0" applyFont="1" applyFill="1" applyBorder="1" applyAlignment="1">
      <alignment horizontal="center"/>
    </xf>
    <xf numFmtId="164" fontId="8" fillId="32" borderId="25" xfId="1" applyNumberFormat="1" applyFont="1" applyFill="1" applyBorder="1"/>
    <xf numFmtId="10" fontId="9" fillId="32" borderId="2" xfId="2" applyNumberFormat="1" applyFont="1" applyFill="1" applyBorder="1"/>
    <xf numFmtId="0" fontId="8" fillId="32" borderId="27" xfId="0" applyFont="1" applyFill="1" applyBorder="1"/>
    <xf numFmtId="10" fontId="8" fillId="32" borderId="25" xfId="2" applyNumberFormat="1" applyFont="1" applyFill="1" applyBorder="1"/>
    <xf numFmtId="0" fontId="6" fillId="32" borderId="27" xfId="0" applyFont="1" applyFill="1" applyBorder="1"/>
    <xf numFmtId="0" fontId="7" fillId="32" borderId="0" xfId="0" applyFont="1" applyFill="1"/>
    <xf numFmtId="0" fontId="8" fillId="32" borderId="9" xfId="0" applyFont="1" applyFill="1" applyBorder="1"/>
    <xf numFmtId="0" fontId="8" fillId="32" borderId="4" xfId="0" applyFont="1" applyFill="1" applyBorder="1"/>
    <xf numFmtId="164" fontId="8" fillId="32" borderId="9" xfId="1" applyNumberFormat="1" applyFont="1" applyFill="1" applyBorder="1"/>
    <xf numFmtId="10" fontId="8" fillId="32" borderId="5" xfId="2" applyNumberFormat="1" applyFont="1" applyFill="1" applyBorder="1"/>
    <xf numFmtId="164" fontId="9" fillId="32" borderId="10" xfId="1" applyNumberFormat="1" applyFont="1" applyFill="1" applyBorder="1"/>
    <xf numFmtId="164" fontId="9" fillId="32" borderId="10" xfId="2" applyNumberFormat="1" applyFont="1" applyFill="1" applyBorder="1"/>
    <xf numFmtId="0" fontId="9" fillId="32" borderId="2" xfId="0" applyFont="1" applyFill="1" applyBorder="1"/>
    <xf numFmtId="164" fontId="0" fillId="32" borderId="11" xfId="2" applyNumberFormat="1" applyFont="1" applyFill="1" applyBorder="1"/>
    <xf numFmtId="0" fontId="10" fillId="32" borderId="88" xfId="0" applyFont="1" applyFill="1" applyBorder="1" applyAlignment="1">
      <alignment horizontal="center" vertical="center"/>
    </xf>
    <xf numFmtId="0" fontId="6" fillId="32" borderId="26" xfId="0" applyFont="1" applyFill="1" applyBorder="1"/>
    <xf numFmtId="0" fontId="9" fillId="32" borderId="4" xfId="0" applyFont="1" applyFill="1" applyBorder="1"/>
    <xf numFmtId="164" fontId="9" fillId="32" borderId="9" xfId="1" applyNumberFormat="1" applyFont="1" applyFill="1" applyBorder="1"/>
    <xf numFmtId="164" fontId="9" fillId="32" borderId="4" xfId="1" applyNumberFormat="1" applyFont="1" applyFill="1" applyBorder="1"/>
    <xf numFmtId="0" fontId="8" fillId="32" borderId="2" xfId="0" applyFont="1" applyFill="1" applyBorder="1"/>
    <xf numFmtId="0" fontId="0" fillId="32" borderId="1" xfId="0" applyFill="1" applyBorder="1"/>
    <xf numFmtId="164" fontId="0" fillId="32" borderId="11" xfId="1" applyNumberFormat="1" applyFont="1" applyFill="1" applyBorder="1"/>
    <xf numFmtId="10" fontId="9" fillId="32" borderId="10" xfId="2" applyNumberFormat="1" applyFont="1" applyFill="1" applyBorder="1"/>
    <xf numFmtId="10" fontId="0" fillId="32" borderId="11" xfId="2" applyNumberFormat="1" applyFont="1" applyFill="1" applyBorder="1"/>
    <xf numFmtId="0" fontId="55" fillId="0" borderId="0" xfId="0" applyFont="1"/>
    <xf numFmtId="0" fontId="55" fillId="34" borderId="51" xfId="0" applyFont="1" applyFill="1" applyBorder="1"/>
    <xf numFmtId="0" fontId="56" fillId="35" borderId="50" xfId="0" applyFont="1" applyFill="1" applyBorder="1"/>
    <xf numFmtId="0" fontId="55" fillId="34" borderId="41" xfId="0" applyFont="1" applyFill="1" applyBorder="1"/>
    <xf numFmtId="0" fontId="55" fillId="34" borderId="40" xfId="0" applyFont="1" applyFill="1" applyBorder="1"/>
    <xf numFmtId="0" fontId="55" fillId="34" borderId="0" xfId="0" applyFont="1" applyFill="1"/>
    <xf numFmtId="0" fontId="57" fillId="34" borderId="43" xfId="0" applyFont="1" applyFill="1" applyBorder="1"/>
    <xf numFmtId="6" fontId="55" fillId="36" borderId="50" xfId="0" applyNumberFormat="1" applyFont="1" applyFill="1" applyBorder="1"/>
    <xf numFmtId="0" fontId="58" fillId="37" borderId="43" xfId="0" applyFont="1" applyFill="1" applyBorder="1" applyAlignment="1">
      <alignment horizontal="left" vertical="center"/>
    </xf>
    <xf numFmtId="8" fontId="57" fillId="34" borderId="42" xfId="0" applyNumberFormat="1" applyFont="1" applyFill="1" applyBorder="1" applyAlignment="1">
      <alignment horizontal="center" vertical="center"/>
    </xf>
    <xf numFmtId="0" fontId="57" fillId="34" borderId="39" xfId="0" applyFont="1" applyFill="1" applyBorder="1"/>
    <xf numFmtId="8" fontId="55" fillId="36" borderId="50" xfId="0" applyNumberFormat="1" applyFont="1" applyFill="1" applyBorder="1"/>
    <xf numFmtId="0" fontId="58" fillId="38" borderId="41" xfId="0" applyFont="1" applyFill="1" applyBorder="1" applyAlignment="1">
      <alignment horizontal="left" vertical="center"/>
    </xf>
    <xf numFmtId="8" fontId="57" fillId="34" borderId="40" xfId="0" applyNumberFormat="1" applyFont="1" applyFill="1" applyBorder="1" applyAlignment="1">
      <alignment horizontal="center" vertical="center"/>
    </xf>
    <xf numFmtId="0" fontId="57" fillId="34" borderId="41" xfId="0" applyFont="1" applyFill="1" applyBorder="1"/>
    <xf numFmtId="0" fontId="59" fillId="39" borderId="39" xfId="0" applyFont="1" applyFill="1" applyBorder="1" applyAlignment="1">
      <alignment horizontal="left" vertical="center"/>
    </xf>
    <xf numFmtId="8" fontId="60" fillId="39" borderId="49" xfId="0" applyNumberFormat="1" applyFont="1" applyFill="1" applyBorder="1" applyAlignment="1">
      <alignment horizontal="center" vertical="center"/>
    </xf>
    <xf numFmtId="0" fontId="57" fillId="34" borderId="51" xfId="0" applyFont="1" applyFill="1" applyBorder="1"/>
    <xf numFmtId="10" fontId="55" fillId="36" borderId="50" xfId="0" applyNumberFormat="1" applyFont="1" applyFill="1" applyBorder="1"/>
    <xf numFmtId="0" fontId="58" fillId="40" borderId="51" xfId="0" applyFont="1" applyFill="1" applyBorder="1" applyAlignment="1">
      <alignment horizontal="center" vertical="center"/>
    </xf>
    <xf numFmtId="10" fontId="57" fillId="41" borderId="53" xfId="0" applyNumberFormat="1" applyFont="1" applyFill="1" applyBorder="1" applyAlignment="1">
      <alignment horizontal="center" vertical="center"/>
    </xf>
    <xf numFmtId="0" fontId="55" fillId="36" borderId="50" xfId="0" applyFont="1" applyFill="1" applyBorder="1"/>
    <xf numFmtId="0" fontId="57" fillId="34" borderId="41" xfId="0" applyFont="1" applyFill="1" applyBorder="1" applyAlignment="1">
      <alignment horizontal="right"/>
    </xf>
    <xf numFmtId="0" fontId="57" fillId="34" borderId="54" xfId="0" applyFont="1" applyFill="1" applyBorder="1" applyAlignment="1">
      <alignment horizontal="center"/>
    </xf>
    <xf numFmtId="0" fontId="55" fillId="42" borderId="41" xfId="0" applyFont="1" applyFill="1" applyBorder="1" applyAlignment="1">
      <alignment horizontal="left"/>
    </xf>
    <xf numFmtId="10" fontId="55" fillId="34" borderId="89" xfId="0" applyNumberFormat="1" applyFont="1" applyFill="1" applyBorder="1"/>
    <xf numFmtId="6" fontId="55" fillId="0" borderId="0" xfId="0" applyNumberFormat="1" applyFont="1"/>
    <xf numFmtId="0" fontId="55" fillId="42" borderId="41" xfId="0" applyFont="1" applyFill="1" applyBorder="1"/>
    <xf numFmtId="0" fontId="55" fillId="42" borderId="39" xfId="0" applyFont="1" applyFill="1" applyBorder="1"/>
    <xf numFmtId="10" fontId="55" fillId="34" borderId="90" xfId="0" applyNumberFormat="1" applyFont="1" applyFill="1" applyBorder="1"/>
    <xf numFmtId="10" fontId="55" fillId="34" borderId="50" xfId="0" applyNumberFormat="1" applyFont="1" applyFill="1" applyBorder="1"/>
    <xf numFmtId="10" fontId="0" fillId="0" borderId="0" xfId="2" applyNumberFormat="1" applyFont="1" applyAlignment="1">
      <alignment horizontal="center"/>
    </xf>
    <xf numFmtId="10" fontId="0" fillId="22" borderId="0" xfId="2" applyNumberFormat="1" applyFont="1" applyFill="1"/>
    <xf numFmtId="164" fontId="8" fillId="32" borderId="2" xfId="2" applyNumberFormat="1" applyFont="1" applyFill="1" applyBorder="1"/>
    <xf numFmtId="0" fontId="0" fillId="0" borderId="41" xfId="0" applyBorder="1" applyAlignment="1">
      <alignment horizontal="center" vertical="center"/>
    </xf>
    <xf numFmtId="0" fontId="2" fillId="2" borderId="12" xfId="0" applyFont="1" applyFill="1" applyBorder="1"/>
    <xf numFmtId="10" fontId="2" fillId="2" borderId="5" xfId="2" applyNumberFormat="1" applyFont="1" applyFill="1" applyBorder="1"/>
    <xf numFmtId="0" fontId="3" fillId="0" borderId="10" xfId="0" applyFont="1" applyBorder="1"/>
    <xf numFmtId="0" fontId="2" fillId="0" borderId="2" xfId="0" applyFont="1" applyBorder="1"/>
    <xf numFmtId="0" fontId="2" fillId="2" borderId="10" xfId="0" applyFont="1" applyFill="1" applyBorder="1"/>
    <xf numFmtId="10" fontId="2" fillId="2" borderId="2" xfId="2" applyNumberFormat="1" applyFont="1" applyFill="1" applyBorder="1"/>
    <xf numFmtId="0" fontId="2" fillId="0" borderId="3" xfId="0" applyFont="1" applyBorder="1"/>
    <xf numFmtId="0" fontId="2" fillId="2" borderId="9" xfId="3" applyFont="1" applyFill="1" applyBorder="1"/>
    <xf numFmtId="164" fontId="3" fillId="2" borderId="9" xfId="1" applyNumberFormat="1" applyFont="1" applyFill="1" applyBorder="1"/>
    <xf numFmtId="164" fontId="3" fillId="2" borderId="4" xfId="1" applyNumberFormat="1" applyFont="1" applyFill="1" applyBorder="1"/>
    <xf numFmtId="10" fontId="3" fillId="2" borderId="5" xfId="2" applyNumberFormat="1" applyFont="1" applyFill="1" applyBorder="1"/>
    <xf numFmtId="10" fontId="3" fillId="0" borderId="10" xfId="2" applyNumberFormat="1" applyFont="1" applyBorder="1"/>
    <xf numFmtId="10" fontId="3" fillId="0" borderId="0" xfId="2" applyNumberFormat="1" applyFont="1" applyBorder="1"/>
    <xf numFmtId="0" fontId="2" fillId="2" borderId="10" xfId="3" applyFont="1" applyFill="1" applyBorder="1"/>
    <xf numFmtId="164" fontId="3" fillId="2" borderId="10" xfId="1" applyNumberFormat="1" applyFont="1" applyFill="1" applyBorder="1"/>
    <xf numFmtId="164" fontId="3" fillId="2" borderId="0" xfId="1" applyNumberFormat="1" applyFont="1" applyFill="1" applyBorder="1"/>
    <xf numFmtId="10" fontId="3" fillId="2" borderId="2" xfId="2" applyNumberFormat="1" applyFont="1" applyFill="1" applyBorder="1"/>
    <xf numFmtId="10" fontId="3" fillId="4" borderId="2" xfId="2" applyNumberFormat="1" applyFont="1" applyFill="1" applyBorder="1"/>
    <xf numFmtId="0" fontId="2" fillId="2" borderId="6" xfId="3" applyFont="1" applyFill="1" applyBorder="1"/>
    <xf numFmtId="10" fontId="3" fillId="0" borderId="0" xfId="2" applyNumberFormat="1" applyFont="1"/>
    <xf numFmtId="164" fontId="3" fillId="0" borderId="0" xfId="1" applyNumberFormat="1" applyFont="1"/>
    <xf numFmtId="0" fontId="2" fillId="2" borderId="0" xfId="0" applyFont="1" applyFill="1"/>
    <xf numFmtId="0" fontId="3" fillId="5" borderId="11" xfId="0" applyFont="1" applyFill="1" applyBorder="1"/>
    <xf numFmtId="0" fontId="2" fillId="5" borderId="8" xfId="0" applyFont="1" applyFill="1" applyBorder="1"/>
    <xf numFmtId="0" fontId="3" fillId="5" borderId="6" xfId="0" applyFont="1" applyFill="1" applyBorder="1"/>
    <xf numFmtId="0" fontId="2" fillId="5" borderId="2" xfId="0" applyFont="1" applyFill="1" applyBorder="1"/>
    <xf numFmtId="0" fontId="3" fillId="0" borderId="6" xfId="0" applyFont="1" applyBorder="1"/>
    <xf numFmtId="164" fontId="3" fillId="5" borderId="11" xfId="1" applyNumberFormat="1" applyFont="1" applyFill="1" applyBorder="1"/>
    <xf numFmtId="164" fontId="3" fillId="5" borderId="1" xfId="1" applyNumberFormat="1" applyFont="1" applyFill="1" applyBorder="1"/>
    <xf numFmtId="0" fontId="3" fillId="25" borderId="11" xfId="0" applyFont="1" applyFill="1" applyBorder="1"/>
    <xf numFmtId="164" fontId="3" fillId="25" borderId="11" xfId="1" applyNumberFormat="1" applyFont="1" applyFill="1" applyBorder="1"/>
    <xf numFmtId="0" fontId="2" fillId="25" borderId="8" xfId="0" applyFont="1" applyFill="1" applyBorder="1"/>
    <xf numFmtId="0" fontId="3" fillId="32" borderId="11" xfId="0" applyFont="1" applyFill="1" applyBorder="1"/>
    <xf numFmtId="164" fontId="3" fillId="32" borderId="11" xfId="1" applyNumberFormat="1" applyFont="1" applyFill="1" applyBorder="1"/>
    <xf numFmtId="0" fontId="2" fillId="32" borderId="8" xfId="0" applyFont="1" applyFill="1" applyBorder="1"/>
    <xf numFmtId="0" fontId="8" fillId="3" borderId="35" xfId="0" applyFont="1" applyFill="1" applyBorder="1" applyAlignment="1">
      <alignment horizontal="center" wrapText="1"/>
    </xf>
    <xf numFmtId="0" fontId="2" fillId="9" borderId="31" xfId="0" applyFont="1" applyFill="1" applyBorder="1" applyAlignment="1">
      <alignment horizontal="center" wrapText="1"/>
    </xf>
    <xf numFmtId="0" fontId="2" fillId="9" borderId="29" xfId="0" applyFont="1" applyFill="1" applyBorder="1" applyAlignment="1">
      <alignment horizontal="center" wrapText="1"/>
    </xf>
    <xf numFmtId="0" fontId="8" fillId="3" borderId="34" xfId="0" applyFont="1" applyFill="1" applyBorder="1" applyAlignment="1">
      <alignment horizontal="center" vertical="center" wrapText="1"/>
    </xf>
    <xf numFmtId="0" fontId="2" fillId="8" borderId="31" xfId="0" applyFont="1" applyFill="1" applyBorder="1" applyAlignment="1">
      <alignment horizontal="center" wrapText="1"/>
    </xf>
    <xf numFmtId="164" fontId="2" fillId="9" borderId="0" xfId="1" applyNumberFormat="1" applyFont="1" applyFill="1" applyBorder="1"/>
    <xf numFmtId="0" fontId="8" fillId="3" borderId="26" xfId="0" applyFont="1" applyFill="1" applyBorder="1"/>
    <xf numFmtId="43" fontId="2" fillId="8" borderId="0" xfId="4" applyFont="1" applyFill="1" applyBorder="1"/>
    <xf numFmtId="0" fontId="8" fillId="3" borderId="30" xfId="0" applyFont="1" applyFill="1" applyBorder="1"/>
    <xf numFmtId="164" fontId="2" fillId="9" borderId="29" xfId="1" applyNumberFormat="1" applyFont="1" applyFill="1" applyBorder="1"/>
    <xf numFmtId="0" fontId="8" fillId="3" borderId="36" xfId="0" applyFont="1" applyFill="1" applyBorder="1"/>
    <xf numFmtId="43" fontId="2" fillId="7" borderId="32" xfId="4" applyFont="1" applyFill="1" applyBorder="1"/>
    <xf numFmtId="43" fontId="2" fillId="8" borderId="31" xfId="2" applyNumberFormat="1" applyFont="1" applyFill="1" applyBorder="1"/>
    <xf numFmtId="164" fontId="2" fillId="9" borderId="2" xfId="1" applyNumberFormat="1" applyFont="1" applyFill="1" applyBorder="1"/>
    <xf numFmtId="43" fontId="2" fillId="8" borderId="2" xfId="4" applyFont="1" applyFill="1" applyBorder="1"/>
    <xf numFmtId="43" fontId="2" fillId="8" borderId="32" xfId="4" applyFont="1" applyFill="1" applyBorder="1"/>
    <xf numFmtId="43" fontId="2" fillId="7" borderId="0" xfId="0" applyNumberFormat="1" applyFont="1" applyFill="1"/>
    <xf numFmtId="43" fontId="2" fillId="7" borderId="0" xfId="4" applyFont="1" applyFill="1"/>
    <xf numFmtId="0" fontId="11" fillId="0" borderId="0" xfId="0" applyFont="1" applyAlignment="1">
      <alignment horizontal="center" vertical="center" readingOrder="1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10" borderId="51" xfId="0" applyFont="1" applyFill="1" applyBorder="1" applyAlignment="1">
      <alignment horizontal="center" vertical="center"/>
    </xf>
    <xf numFmtId="0" fontId="8" fillId="10" borderId="52" xfId="0" applyFont="1" applyFill="1" applyBorder="1" applyAlignment="1">
      <alignment horizontal="center" vertical="center"/>
    </xf>
    <xf numFmtId="0" fontId="8" fillId="10" borderId="53" xfId="0" applyFont="1" applyFill="1" applyBorder="1" applyAlignment="1">
      <alignment vertical="center"/>
    </xf>
    <xf numFmtId="169" fontId="12" fillId="4" borderId="0" xfId="1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12" fillId="4" borderId="0" xfId="2" applyNumberFormat="1" applyFont="1" applyFill="1" applyBorder="1" applyAlignment="1">
      <alignment horizontal="center" vertical="center"/>
    </xf>
    <xf numFmtId="43" fontId="12" fillId="4" borderId="0" xfId="4" applyFont="1" applyFill="1" applyBorder="1" applyAlignment="1">
      <alignment horizontal="center" vertical="center"/>
    </xf>
    <xf numFmtId="43" fontId="0" fillId="4" borderId="0" xfId="4" applyFont="1" applyFill="1" applyBorder="1" applyAlignment="1">
      <alignment horizontal="center" vertical="center"/>
    </xf>
    <xf numFmtId="43" fontId="12" fillId="4" borderId="0" xfId="2" applyNumberFormat="1" applyFont="1" applyFill="1" applyBorder="1" applyAlignment="1">
      <alignment horizontal="center" vertical="center"/>
    </xf>
    <xf numFmtId="10" fontId="0" fillId="4" borderId="0" xfId="2" applyNumberFormat="1" applyFont="1" applyFill="1" applyBorder="1" applyAlignment="1">
      <alignment horizontal="center" vertical="center"/>
    </xf>
    <xf numFmtId="10" fontId="12" fillId="0" borderId="62" xfId="2" applyNumberFormat="1" applyFon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43" fontId="12" fillId="26" borderId="77" xfId="2" applyNumberFormat="1" applyFont="1" applyFill="1" applyBorder="1" applyAlignment="1">
      <alignment horizontal="center" vertical="center"/>
    </xf>
    <xf numFmtId="10" fontId="0" fillId="0" borderId="77" xfId="2" applyNumberFormat="1" applyFont="1" applyBorder="1" applyAlignment="1">
      <alignment horizontal="center" vertical="center"/>
    </xf>
    <xf numFmtId="10" fontId="0" fillId="0" borderId="78" xfId="2" applyNumberFormat="1" applyFont="1" applyBorder="1" applyAlignment="1">
      <alignment horizontal="center" vertical="center"/>
    </xf>
    <xf numFmtId="43" fontId="12" fillId="0" borderId="77" xfId="4" applyFont="1" applyBorder="1" applyAlignment="1">
      <alignment horizontal="center" vertical="center"/>
    </xf>
    <xf numFmtId="43" fontId="0" fillId="0" borderId="77" xfId="4" applyFont="1" applyBorder="1" applyAlignment="1">
      <alignment horizontal="center" vertical="center"/>
    </xf>
    <xf numFmtId="43" fontId="0" fillId="0" borderId="78" xfId="4" applyFont="1" applyBorder="1" applyAlignment="1">
      <alignment horizontal="center" vertical="center"/>
    </xf>
    <xf numFmtId="43" fontId="12" fillId="0" borderId="79" xfId="4" applyFont="1" applyBorder="1" applyAlignment="1">
      <alignment horizontal="center" vertical="center"/>
    </xf>
    <xf numFmtId="0" fontId="2" fillId="23" borderId="51" xfId="0" applyFont="1" applyFill="1" applyBorder="1" applyAlignment="1">
      <alignment horizontal="center" vertical="center"/>
    </xf>
    <xf numFmtId="0" fontId="2" fillId="23" borderId="53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5" borderId="53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23" borderId="52" xfId="0" applyFont="1" applyFill="1" applyBorder="1" applyAlignment="1">
      <alignment horizontal="center" vertical="center"/>
    </xf>
    <xf numFmtId="0" fontId="2" fillId="23" borderId="53" xfId="0" applyFont="1" applyFill="1" applyBorder="1" applyAlignment="1">
      <alignment vertical="center"/>
    </xf>
    <xf numFmtId="0" fontId="2" fillId="5" borderId="52" xfId="0" applyFont="1" applyFill="1" applyBorder="1" applyAlignment="1">
      <alignment horizontal="center" vertical="center"/>
    </xf>
    <xf numFmtId="0" fontId="2" fillId="5" borderId="53" xfId="0" applyFont="1" applyFill="1" applyBorder="1" applyAlignment="1">
      <alignment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3" xfId="0" applyFont="1" applyFill="1" applyBorder="1" applyAlignment="1">
      <alignment vertical="center"/>
    </xf>
    <xf numFmtId="169" fontId="12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169" fontId="12" fillId="0" borderId="18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8" borderId="51" xfId="0" applyFont="1" applyFill="1" applyBorder="1" applyAlignment="1">
      <alignment horizontal="center" vertical="center"/>
    </xf>
    <xf numFmtId="0" fontId="2" fillId="8" borderId="52" xfId="0" applyFont="1" applyFill="1" applyBorder="1" applyAlignment="1">
      <alignment horizontal="center" vertical="center"/>
    </xf>
    <xf numFmtId="0" fontId="2" fillId="8" borderId="53" xfId="0" applyFont="1" applyFill="1" applyBorder="1" applyAlignment="1">
      <alignment vertical="center"/>
    </xf>
    <xf numFmtId="0" fontId="2" fillId="8" borderId="43" xfId="0" applyFont="1" applyFill="1" applyBorder="1" applyAlignment="1">
      <alignment horizontal="center" vertical="center"/>
    </xf>
    <xf numFmtId="0" fontId="2" fillId="8" borderId="42" xfId="0" applyFont="1" applyFill="1" applyBorder="1" applyAlignment="1">
      <alignment horizontal="center" vertical="center"/>
    </xf>
    <xf numFmtId="0" fontId="35" fillId="25" borderId="83" xfId="0" applyFont="1" applyFill="1" applyBorder="1" applyAlignment="1">
      <alignment horizontal="center" vertical="center" wrapText="1"/>
    </xf>
    <xf numFmtId="0" fontId="33" fillId="0" borderId="55" xfId="0" applyFont="1" applyBorder="1" applyAlignment="1">
      <alignment horizontal="center" vertical="center" wrapText="1"/>
    </xf>
    <xf numFmtId="0" fontId="44" fillId="23" borderId="54" xfId="0" applyFont="1" applyFill="1" applyBorder="1" applyAlignment="1">
      <alignment horizontal="center" vertical="center" wrapText="1"/>
    </xf>
    <xf numFmtId="0" fontId="45" fillId="23" borderId="55" xfId="0" applyFont="1" applyFill="1" applyBorder="1" applyAlignment="1">
      <alignment horizontal="center" vertical="center" wrapText="1"/>
    </xf>
    <xf numFmtId="169" fontId="36" fillId="25" borderId="22" xfId="1" applyNumberFormat="1" applyFont="1" applyFill="1" applyBorder="1" applyAlignment="1">
      <alignment horizontal="center" vertical="center"/>
    </xf>
    <xf numFmtId="43" fontId="36" fillId="25" borderId="66" xfId="4" applyFont="1" applyFill="1" applyBorder="1" applyAlignment="1">
      <alignment horizontal="center" vertical="center"/>
    </xf>
    <xf numFmtId="43" fontId="9" fillId="25" borderId="75" xfId="4" applyFont="1" applyFill="1" applyBorder="1" applyAlignment="1">
      <alignment horizontal="center" vertical="center"/>
    </xf>
    <xf numFmtId="43" fontId="9" fillId="25" borderId="76" xfId="4" applyFont="1" applyFill="1" applyBorder="1" applyAlignment="1">
      <alignment horizontal="center" vertical="center"/>
    </xf>
    <xf numFmtId="169" fontId="12" fillId="23" borderId="73" xfId="1" applyNumberFormat="1" applyFont="1" applyFill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169" fontId="12" fillId="23" borderId="64" xfId="1" applyNumberFormat="1" applyFont="1" applyFill="1" applyBorder="1" applyAlignment="1">
      <alignment horizontal="center" vertical="center"/>
    </xf>
    <xf numFmtId="169" fontId="12" fillId="26" borderId="0" xfId="1" applyNumberFormat="1" applyFont="1" applyFill="1" applyBorder="1" applyAlignment="1">
      <alignment horizontal="center" vertical="center"/>
    </xf>
    <xf numFmtId="169" fontId="12" fillId="0" borderId="22" xfId="1" applyNumberFormat="1" applyFont="1" applyBorder="1" applyAlignment="1">
      <alignment horizontal="center" vertical="center"/>
    </xf>
    <xf numFmtId="10" fontId="12" fillId="23" borderId="66" xfId="2" applyNumberFormat="1" applyFont="1" applyFill="1" applyBorder="1" applyAlignment="1">
      <alignment horizontal="center" vertical="center"/>
    </xf>
    <xf numFmtId="10" fontId="0" fillId="0" borderId="75" xfId="2" applyNumberFormat="1" applyFont="1" applyBorder="1" applyAlignment="1">
      <alignment horizontal="center" vertical="center"/>
    </xf>
    <xf numFmtId="10" fontId="0" fillId="0" borderId="76" xfId="2" applyNumberFormat="1" applyFont="1" applyBorder="1" applyAlignment="1">
      <alignment horizontal="center" vertical="center"/>
    </xf>
    <xf numFmtId="169" fontId="36" fillId="25" borderId="41" xfId="1" applyNumberFormat="1" applyFont="1" applyFill="1" applyBorder="1" applyAlignment="1">
      <alignment horizontal="center" vertical="center"/>
    </xf>
    <xf numFmtId="43" fontId="36" fillId="25" borderId="80" xfId="4" applyFont="1" applyFill="1" applyBorder="1" applyAlignment="1">
      <alignment horizontal="center" vertical="center"/>
    </xf>
    <xf numFmtId="10" fontId="12" fillId="0" borderId="22" xfId="2" applyNumberFormat="1" applyFont="1" applyBorder="1" applyAlignment="1">
      <alignment horizontal="center" vertical="center"/>
    </xf>
    <xf numFmtId="0" fontId="10" fillId="3" borderId="61" xfId="0" applyFont="1" applyFill="1" applyBorder="1" applyAlignment="1">
      <alignment horizontal="center" vertical="center" wrapText="1"/>
    </xf>
    <xf numFmtId="0" fontId="0" fillId="0" borderId="58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57" xfId="0" applyBorder="1" applyAlignment="1">
      <alignment vertical="center" wrapText="1"/>
    </xf>
    <xf numFmtId="0" fontId="10" fillId="3" borderId="61" xfId="0" applyFont="1" applyFill="1" applyBorder="1" applyAlignment="1">
      <alignment horizontal="center" vertical="center"/>
    </xf>
    <xf numFmtId="0" fontId="10" fillId="3" borderId="58" xfId="0" applyFont="1" applyFill="1" applyBorder="1" applyAlignment="1">
      <alignment horizontal="center" vertical="center"/>
    </xf>
    <xf numFmtId="0" fontId="10" fillId="3" borderId="59" xfId="0" applyFont="1" applyFill="1" applyBorder="1" applyAlignment="1">
      <alignment vertical="center"/>
    </xf>
    <xf numFmtId="0" fontId="36" fillId="3" borderId="22" xfId="0" applyFont="1" applyFill="1" applyBorder="1" applyAlignment="1">
      <alignment vertical="center"/>
    </xf>
    <xf numFmtId="0" fontId="36" fillId="3" borderId="0" xfId="0" applyFont="1" applyFill="1" applyAlignment="1">
      <alignment vertical="center"/>
    </xf>
    <xf numFmtId="0" fontId="36" fillId="3" borderId="26" xfId="0" applyFont="1" applyFill="1" applyBorder="1" applyAlignment="1">
      <alignment vertical="center"/>
    </xf>
    <xf numFmtId="43" fontId="12" fillId="23" borderId="66" xfId="4" applyFont="1" applyFill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169" fontId="12" fillId="23" borderId="63" xfId="1" applyNumberFormat="1" applyFont="1" applyFill="1" applyBorder="1" applyAlignment="1">
      <alignment horizontal="center" vertical="center"/>
    </xf>
    <xf numFmtId="0" fontId="42" fillId="5" borderId="43" xfId="0" applyFont="1" applyFill="1" applyBorder="1" applyAlignment="1">
      <alignment horizontal="center" vertical="center"/>
    </xf>
    <xf numFmtId="0" fontId="42" fillId="5" borderId="58" xfId="0" applyFont="1" applyFill="1" applyBorder="1" applyAlignment="1">
      <alignment horizontal="center" vertical="center"/>
    </xf>
    <xf numFmtId="0" fontId="42" fillId="5" borderId="59" xfId="0" applyFont="1" applyFill="1" applyBorder="1" applyAlignment="1">
      <alignment horizontal="center" vertical="center"/>
    </xf>
    <xf numFmtId="0" fontId="42" fillId="5" borderId="41" xfId="0" applyFont="1" applyFill="1" applyBorder="1" applyAlignment="1">
      <alignment vertical="center"/>
    </xf>
    <xf numFmtId="0" fontId="42" fillId="5" borderId="0" xfId="0" applyFont="1" applyFill="1" applyAlignment="1">
      <alignment vertical="center"/>
    </xf>
    <xf numFmtId="0" fontId="42" fillId="5" borderId="26" xfId="0" applyFont="1" applyFill="1" applyBorder="1" applyAlignment="1">
      <alignment vertical="center"/>
    </xf>
    <xf numFmtId="0" fontId="43" fillId="27" borderId="58" xfId="0" applyFont="1" applyFill="1" applyBorder="1" applyAlignment="1">
      <alignment horizontal="center" vertical="center"/>
    </xf>
    <xf numFmtId="0" fontId="43" fillId="27" borderId="58" xfId="0" applyFont="1" applyFill="1" applyBorder="1" applyAlignment="1">
      <alignment vertical="center"/>
    </xf>
    <xf numFmtId="0" fontId="42" fillId="27" borderId="0" xfId="0" applyFont="1" applyFill="1" applyAlignment="1">
      <alignment vertical="center"/>
    </xf>
    <xf numFmtId="0" fontId="43" fillId="8" borderId="58" xfId="0" applyFont="1" applyFill="1" applyBorder="1" applyAlignment="1">
      <alignment horizontal="center" vertical="center"/>
    </xf>
    <xf numFmtId="0" fontId="43" fillId="8" borderId="58" xfId="0" applyFont="1" applyFill="1" applyBorder="1" applyAlignment="1">
      <alignment vertical="center"/>
    </xf>
    <xf numFmtId="0" fontId="42" fillId="8" borderId="0" xfId="0" applyFont="1" applyFill="1" applyAlignment="1">
      <alignment vertical="center"/>
    </xf>
    <xf numFmtId="43" fontId="12" fillId="23" borderId="80" xfId="4" applyFont="1" applyFill="1" applyBorder="1" applyAlignment="1">
      <alignment horizontal="center" vertical="center"/>
    </xf>
    <xf numFmtId="43" fontId="0" fillId="23" borderId="75" xfId="4" applyFont="1" applyFill="1" applyBorder="1" applyAlignment="1">
      <alignment horizontal="center" vertical="center"/>
    </xf>
    <xf numFmtId="43" fontId="0" fillId="23" borderId="76" xfId="4" applyFont="1" applyFill="1" applyBorder="1" applyAlignment="1">
      <alignment horizontal="center" vertical="center"/>
    </xf>
    <xf numFmtId="10" fontId="36" fillId="25" borderId="22" xfId="2" applyNumberFormat="1" applyFont="1" applyFill="1" applyBorder="1" applyAlignment="1">
      <alignment horizontal="center" vertical="center"/>
    </xf>
    <xf numFmtId="0" fontId="35" fillId="25" borderId="65" xfId="0" applyFont="1" applyFill="1" applyBorder="1" applyAlignment="1">
      <alignment horizontal="center" vertical="center" textRotation="180"/>
    </xf>
    <xf numFmtId="0" fontId="33" fillId="0" borderId="41" xfId="0" applyFont="1" applyBorder="1" applyAlignment="1">
      <alignment horizontal="center" vertical="center" textRotation="180"/>
    </xf>
    <xf numFmtId="0" fontId="37" fillId="23" borderId="43" xfId="0" applyFont="1" applyFill="1" applyBorder="1" applyAlignment="1">
      <alignment horizontal="center" vertical="center"/>
    </xf>
    <xf numFmtId="0" fontId="32" fillId="0" borderId="41" xfId="0" applyFont="1" applyBorder="1" applyAlignment="1">
      <alignment horizontal="center" vertical="center"/>
    </xf>
    <xf numFmtId="10" fontId="36" fillId="25" borderId="66" xfId="2" applyNumberFormat="1" applyFont="1" applyFill="1" applyBorder="1" applyAlignment="1">
      <alignment horizontal="center" vertical="center"/>
    </xf>
    <xf numFmtId="0" fontId="9" fillId="25" borderId="75" xfId="0" applyFont="1" applyFill="1" applyBorder="1" applyAlignment="1">
      <alignment horizontal="center" vertical="center"/>
    </xf>
    <xf numFmtId="0" fontId="9" fillId="25" borderId="76" xfId="0" applyFont="1" applyFill="1" applyBorder="1" applyAlignment="1">
      <alignment horizontal="center" vertical="center"/>
    </xf>
    <xf numFmtId="43" fontId="36" fillId="25" borderId="75" xfId="4" applyFont="1" applyFill="1" applyBorder="1" applyAlignment="1">
      <alignment horizontal="center" vertical="center"/>
    </xf>
    <xf numFmtId="0" fontId="36" fillId="3" borderId="43" xfId="0" applyFont="1" applyFill="1" applyBorder="1" applyAlignment="1">
      <alignment horizontal="center" vertical="center"/>
    </xf>
    <xf numFmtId="0" fontId="36" fillId="3" borderId="58" xfId="0" applyFont="1" applyFill="1" applyBorder="1" applyAlignment="1">
      <alignment horizontal="center" vertical="center"/>
    </xf>
    <xf numFmtId="0" fontId="36" fillId="3" borderId="59" xfId="0" applyFont="1" applyFill="1" applyBorder="1" applyAlignment="1">
      <alignment horizontal="center" vertical="center"/>
    </xf>
    <xf numFmtId="0" fontId="36" fillId="3" borderId="41" xfId="0" applyFont="1" applyFill="1" applyBorder="1" applyAlignment="1">
      <alignment vertical="center"/>
    </xf>
    <xf numFmtId="0" fontId="10" fillId="3" borderId="58" xfId="0" applyFont="1" applyFill="1" applyBorder="1" applyAlignment="1">
      <alignment vertical="center"/>
    </xf>
    <xf numFmtId="0" fontId="10" fillId="3" borderId="42" xfId="0" applyFont="1" applyFill="1" applyBorder="1" applyAlignment="1">
      <alignment vertical="center"/>
    </xf>
    <xf numFmtId="0" fontId="36" fillId="3" borderId="40" xfId="0" applyFont="1" applyFill="1" applyBorder="1" applyAlignment="1">
      <alignment vertical="center"/>
    </xf>
    <xf numFmtId="169" fontId="12" fillId="26" borderId="22" xfId="1" applyNumberFormat="1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0" fontId="12" fillId="23" borderId="64" xfId="2" applyNumberFormat="1" applyFont="1" applyFill="1" applyBorder="1" applyAlignment="1">
      <alignment horizontal="center" vertical="center"/>
    </xf>
    <xf numFmtId="43" fontId="12" fillId="23" borderId="75" xfId="4" applyFont="1" applyFill="1" applyBorder="1" applyAlignment="1">
      <alignment horizontal="center" vertical="center"/>
    </xf>
    <xf numFmtId="0" fontId="10" fillId="3" borderId="58" xfId="0" applyFont="1" applyFill="1" applyBorder="1" applyAlignment="1">
      <alignment horizontal="center" vertical="center" wrapText="1"/>
    </xf>
    <xf numFmtId="0" fontId="10" fillId="3" borderId="58" xfId="0" applyFont="1" applyFill="1" applyBorder="1" applyAlignment="1">
      <alignment vertical="center" wrapText="1"/>
    </xf>
    <xf numFmtId="0" fontId="36" fillId="3" borderId="22" xfId="0" applyFont="1" applyFill="1" applyBorder="1" applyAlignment="1">
      <alignment vertical="center" wrapText="1"/>
    </xf>
    <xf numFmtId="0" fontId="36" fillId="3" borderId="0" xfId="0" applyFont="1" applyFill="1" applyAlignment="1">
      <alignment vertical="center" wrapText="1"/>
    </xf>
    <xf numFmtId="0" fontId="0" fillId="0" borderId="72" xfId="0" applyBorder="1" applyAlignment="1">
      <alignment horizontal="center" vertical="center"/>
    </xf>
    <xf numFmtId="43" fontId="0" fillId="23" borderId="81" xfId="4" applyFont="1" applyFill="1" applyBorder="1" applyAlignment="1">
      <alignment horizontal="center" vertical="center"/>
    </xf>
    <xf numFmtId="43" fontId="9" fillId="25" borderId="81" xfId="4" applyFont="1" applyFill="1" applyBorder="1" applyAlignment="1">
      <alignment horizontal="center" vertical="center"/>
    </xf>
    <xf numFmtId="43" fontId="12" fillId="26" borderId="79" xfId="2" applyNumberFormat="1" applyFont="1" applyFill="1" applyBorder="1" applyAlignment="1">
      <alignment horizontal="center" vertical="center"/>
    </xf>
    <xf numFmtId="10" fontId="0" fillId="0" borderId="82" xfId="2" applyNumberFormat="1" applyFont="1" applyBorder="1" applyAlignment="1">
      <alignment horizontal="center" vertical="center"/>
    </xf>
    <xf numFmtId="169" fontId="36" fillId="25" borderId="0" xfId="1" applyNumberFormat="1" applyFont="1" applyFill="1" applyBorder="1" applyAlignment="1">
      <alignment horizontal="center" vertical="center"/>
    </xf>
    <xf numFmtId="169" fontId="12" fillId="23" borderId="58" xfId="1" applyNumberFormat="1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69" fontId="12" fillId="23" borderId="43" xfId="1" applyNumberFormat="1" applyFont="1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169" fontId="12" fillId="23" borderId="61" xfId="1" applyNumberFormat="1" applyFont="1" applyFill="1" applyBorder="1" applyAlignment="1">
      <alignment horizontal="center" vertical="center"/>
    </xf>
    <xf numFmtId="10" fontId="12" fillId="23" borderId="61" xfId="2" applyNumberFormat="1" applyFont="1" applyFill="1" applyBorder="1" applyAlignment="1">
      <alignment horizontal="center" vertical="center"/>
    </xf>
    <xf numFmtId="0" fontId="42" fillId="0" borderId="0" xfId="0" applyFont="1" applyAlignment="1">
      <alignment vertical="center" wrapText="1"/>
    </xf>
    <xf numFmtId="0" fontId="0" fillId="0" borderId="0" xfId="0"/>
    <xf numFmtId="0" fontId="51" fillId="0" borderId="0" xfId="0" applyFont="1" applyAlignment="1">
      <alignment vertical="center" wrapText="1"/>
    </xf>
    <xf numFmtId="0" fontId="39" fillId="0" borderId="0" xfId="0" applyFont="1"/>
    <xf numFmtId="0" fontId="39" fillId="0" borderId="0" xfId="0" applyFont="1" applyAlignment="1">
      <alignment vertical="center"/>
    </xf>
    <xf numFmtId="0" fontId="14" fillId="0" borderId="0" xfId="5" applyAlignment="1">
      <alignment horizontal="center"/>
    </xf>
    <xf numFmtId="0" fontId="17" fillId="0" borderId="0" xfId="0" applyFont="1" applyAlignment="1">
      <alignment horizontal="center"/>
    </xf>
    <xf numFmtId="0" fontId="54" fillId="33" borderId="43" xfId="0" applyFont="1" applyFill="1" applyBorder="1" applyAlignment="1">
      <alignment horizontal="center" vertical="center"/>
    </xf>
    <xf numFmtId="0" fontId="54" fillId="33" borderId="58" xfId="0" applyFont="1" applyFill="1" applyBorder="1" applyAlignment="1">
      <alignment horizontal="center" vertical="center"/>
    </xf>
    <xf numFmtId="0" fontId="54" fillId="33" borderId="51" xfId="0" applyFont="1" applyFill="1" applyBorder="1" applyAlignment="1">
      <alignment horizontal="center" vertical="center"/>
    </xf>
    <xf numFmtId="0" fontId="54" fillId="33" borderId="52" xfId="0" applyFont="1" applyFill="1" applyBorder="1" applyAlignment="1">
      <alignment horizontal="center" vertical="center"/>
    </xf>
  </cellXfs>
  <cellStyles count="10">
    <cellStyle name="Bad 2" xfId="9" xr:uid="{A0F25E44-ED47-41B4-84B6-C8BB2513EF2E}"/>
    <cellStyle name="Comma" xfId="4" builtinId="3"/>
    <cellStyle name="Currency" xfId="1" builtinId="4"/>
    <cellStyle name="Good 2" xfId="7" xr:uid="{95AD43C4-7B3A-4EDF-A7A4-03EAFE42C2C9}"/>
    <cellStyle name="Neutral 2" xfId="6" xr:uid="{E122A2D5-D447-42A7-B204-95ADD8589AC7}"/>
    <cellStyle name="Normal" xfId="0" builtinId="0"/>
    <cellStyle name="Normal 2" xfId="3" xr:uid="{67797F94-75D9-49DF-BA53-DD52F0468C96}"/>
    <cellStyle name="Normal 3" xfId="5" xr:uid="{4925AB6F-DF5F-4A2B-A10A-30FA539E8650}"/>
    <cellStyle name="Percent" xfId="2" builtinId="5"/>
    <cellStyle name="Percent 2" xfId="8" xr:uid="{5D92C007-D059-4737-87DB-2A45416F76EC}"/>
  </cellStyles>
  <dxfs count="3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rgb="FFFFEB9C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rgb="FFFFEB9C"/>
          <bgColor indexed="65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rgb="FFFFEB9C"/>
          <bgColor indexed="65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rgb="FFFFC7CE"/>
          <bgColor indexed="65"/>
        </patternFill>
      </fill>
    </dxf>
    <dxf>
      <numFmt numFmtId="1" formatCode="0"/>
    </dxf>
    <dxf>
      <numFmt numFmtId="165" formatCode="_-* #,##0_-;\-* #,##0_-;_-* &quot;-&quot;??_-;_-@_-"/>
    </dxf>
    <dxf>
      <fill>
        <patternFill patternType="none"/>
      </fill>
    </dxf>
    <dxf>
      <fill>
        <patternFill patternType="none"/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none"/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59999389629810485"/>
        </patternFill>
      </fill>
    </dxf>
    <dxf>
      <font>
        <color theme="5" tint="0.39997558519241921"/>
      </font>
    </dxf>
    <dxf>
      <fill>
        <patternFill patternType="solid">
          <fgColor indexed="64"/>
          <bgColor theme="4" tint="0.79998168889431442"/>
        </patternFill>
      </fill>
    </dxf>
    <dxf>
      <fill>
        <patternFill patternType="none"/>
      </fill>
    </dxf>
    <dxf>
      <numFmt numFmtId="34" formatCode="_-&quot;$&quot;* #,##0.00_-;\-&quot;$&quot;* #,##0.00_-;_-&quot;$&quot;* &quot;-&quot;??_-;_-@_-"/>
    </dxf>
    <dxf>
      <numFmt numFmtId="2" formatCode="0.00"/>
    </dxf>
    <dxf>
      <fill>
        <patternFill patternType="solid">
          <bgColor theme="4" tint="0.79998168889431442"/>
        </patternFill>
      </fill>
    </dxf>
    <dxf>
      <numFmt numFmtId="2" formatCode="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rgb="FFFFEB9C"/>
          <bgColor indexed="65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rgb="FFFFC7CE"/>
          <bgColor indexed="65"/>
        </patternFill>
      </fill>
    </dxf>
    <dxf>
      <numFmt numFmtId="166" formatCode="_([$$-409]* #,##0.00_);_([$$-409]* \(#,##0.00\);_([$$-409]* &quot;-&quot;??_);_(@_)"/>
    </dxf>
    <dxf>
      <numFmt numFmtId="3" formatCode="#,##0"/>
    </dxf>
    <dxf>
      <fill>
        <patternFill patternType="solid">
          <fgColor indexed="64"/>
          <bgColor theme="4" tint="0.3999755851924192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solid">
          <fgColor indexed="6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solid">
          <bgColor theme="4" tint="0.39997558519241921"/>
        </patternFill>
      </fill>
    </dxf>
    <dxf>
      <fill>
        <patternFill patternType="none">
          <fgColor indexed="64"/>
          <bgColor indexed="65"/>
        </patternFill>
      </fill>
    </dxf>
    <dxf>
      <numFmt numFmtId="4" formatCode="#,##0.00"/>
    </dxf>
    <dxf>
      <numFmt numFmtId="13" formatCode="0%"/>
    </dxf>
    <dxf>
      <numFmt numFmtId="167" formatCode="#,##0.0"/>
    </dxf>
    <dxf>
      <numFmt numFmtId="167" formatCode="#,##0.0"/>
    </dxf>
    <dxf>
      <numFmt numFmtId="4" formatCode="#,##0.00"/>
    </dxf>
    <dxf>
      <numFmt numFmtId="4" formatCode="#,##0.00"/>
    </dxf>
    <dxf>
      <numFmt numFmtId="4" formatCode="#,##0.00"/>
    </dxf>
    <dxf>
      <font>
        <color rgb="FF000000"/>
      </font>
    </dxf>
    <dxf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indexed="65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color rgb="FF000000"/>
      </font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1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color auto="1"/>
      </font>
    </dxf>
    <dxf>
      <fill>
        <patternFill patternType="solid"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5"/>
          <bgColor rgb="FFFFC7CE"/>
        </patternFill>
      </fill>
    </dxf>
    <dxf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color auto="1"/>
      </font>
    </dxf>
    <dxf>
      <fill>
        <patternFill patternType="solid"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color auto="1"/>
      </font>
      <numFmt numFmtId="167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color auto="1"/>
      </font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ill>
        <patternFill patternType="solid"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5"/>
          <bgColor rgb="FFFFC7CE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ill>
        <patternFill patternType="none">
          <bgColor auto="1"/>
        </patternFill>
      </fill>
    </dxf>
    <dxf>
      <numFmt numFmtId="4" formatCode="#,##0.00"/>
    </dxf>
    <dxf>
      <alignment horizontal="right"/>
    </dxf>
    <dxf>
      <alignment horizontal="center" indent="0"/>
    </dxf>
    <dxf>
      <alignment horizontal="left" relativeIndent="1"/>
    </dxf>
    <dxf>
      <numFmt numFmtId="3" formatCode="#,##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4" formatCode="#,##0.00"/>
    </dxf>
    <dxf>
      <alignment horizontal="right"/>
    </dxf>
    <dxf>
      <alignment horizontal="right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solid">
          <bgColor theme="4" tint="0.3999755851924192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rgb="FFFFEB9C"/>
          <bgColor indexed="65"/>
        </patternFill>
      </fill>
    </dxf>
    <dxf>
      <numFmt numFmtId="165" formatCode="_-* #,##0_-;\-* #,##0_-;_-* &quot;-&quot;??_-;_-@_-"/>
    </dxf>
    <dxf>
      <numFmt numFmtId="165" formatCode="_-* #,##0_-;\-* #,##0_-;_-* &quot;-&quot;??_-;_-@_-"/>
    </dxf>
    <dxf>
      <fill>
        <patternFill patternType="none"/>
      </fill>
    </dxf>
    <dxf>
      <fill>
        <patternFill patternType="none"/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rgb="FFC6EFCE"/>
          <bgColor indexed="65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none"/>
      </fill>
    </dxf>
    <dxf>
      <fill>
        <patternFill patternType="solid">
          <bgColor theme="4" tint="0.79998168889431442"/>
        </patternFill>
      </fill>
    </dxf>
    <dxf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14" formatCode="0.00%"/>
    </dxf>
    <dxf>
      <numFmt numFmtId="34" formatCode="_-&quot;$&quot;* #,##0.00_-;\-&quot;$&quot;* #,##0.00_-;_-&quot;$&quot;* &quot;-&quot;??_-;_-@_-"/>
    </dxf>
    <dxf>
      <numFmt numFmtId="1" formatCode="0"/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Aptos Narrow"/>
        <scheme val="none"/>
      </font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general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fill>
        <patternFill patternType="solid">
          <fgColor indexed="64"/>
          <bgColor theme="3"/>
        </patternFill>
      </fill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none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3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</dxf>
    <dxf>
      <fill>
        <patternFill patternType="solid">
          <fgColor indexed="64"/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0"/>
          <c:order val="10"/>
          <c:tx>
            <c:strRef>
              <c:f>Annualized!$P$40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417-4A37-88FD-3C1933AEEE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417-4A37-88FD-3C1933AEEE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417-4A37-88FD-3C1933AEEEF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Annualized!$Q$29:$AA$29</c15:sqref>
                  </c15:fullRef>
                </c:ext>
              </c:extLst>
              <c:f>Annualized!$V$29:$X$29</c:f>
              <c:strCache>
                <c:ptCount val="3"/>
                <c:pt idx="0">
                  <c:v>Pin Disc</c:v>
                </c:pt>
                <c:pt idx="1">
                  <c:v>ADV+ Disc. </c:v>
                </c:pt>
                <c:pt idx="2">
                  <c:v>Saas  Disc.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Annualized!$Q$40:$AA$40</c15:sqref>
                  </c15:fullRef>
                </c:ext>
              </c:extLst>
              <c:f>Annualized!$V$40:$X$40</c:f>
              <c:numCache>
                <c:formatCode>_("$"* #,##0.00_);_("$"* \(#,##0.00\);_("$"* "-"??_);_(@_)</c:formatCode>
                <c:ptCount val="3"/>
                <c:pt idx="0" formatCode="_(* #,##0.00_);_(* \(#,##0.00\);_(* &quot;-&quot;??_);_(@_)">
                  <c:v>4.6888169066166396</c:v>
                </c:pt>
                <c:pt idx="1" formatCode="_(* #,##0.00_);_(* \(#,##0.00\);_(* &quot;-&quot;??_);_(@_)">
                  <c:v>2.8856599590580667</c:v>
                </c:pt>
                <c:pt idx="2" formatCode="_(* #,##0.00_);_(* \(#,##0.00\);_(* &quot;-&quot;??_);_(@_)">
                  <c:v>9.9863953634230143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A-FFEF-40FA-893E-BFD25E6C8F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Annualized!$P$30</c15:sqref>
                        </c15:formulaRef>
                      </c:ext>
                    </c:extLst>
                    <c:strCache>
                      <c:ptCount val="1"/>
                      <c:pt idx="0">
                        <c:v>Bepoz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FFEF-40FA-893E-BFD25E6C8FC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FFEF-40FA-893E-BFD25E6C8FC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FFEF-40FA-893E-BFD25E6C8FC7}"/>
                    </c:ext>
                  </c:extLst>
                </c:dPt>
                <c:dLbls>
                  <c:dLbl>
                    <c:idx val="0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C-FFEF-40FA-893E-BFD25E6C8FC7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833A631D-3F69-4FEC-903E-EC83BC78B17A}" type="CATEGORYNAME">
                            <a:rPr lang="en-US"/>
                            <a:pPr/>
                            <a:t>[CATEGORY NAME]</a:t>
                          </a:fld>
                          <a:r>
                            <a:rPr lang="en-US" baseline="0"/>
                            <a:t>, 2.89</a:t>
                          </a:r>
                        </a:p>
                      </c:rich>
                    </c:tx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E-FFEF-40FA-893E-BFD25E6C8FC7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DEA8F44A-7772-43A9-8790-2D39DE9A5ABE}" type="CATEGORYNAME">
                            <a:rPr lang="en-US"/>
                            <a:pPr/>
                            <a:t>[CATEGORY NAME]</a:t>
                          </a:fld>
                          <a:r>
                            <a:rPr lang="en-US" baseline="0"/>
                            <a:t>, 9.99</a:t>
                          </a:r>
                        </a:p>
                      </c:rich>
                    </c:tx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D-FFEF-40FA-893E-BFD25E6C8FC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Annualized!$Q$29:$AA$29</c15:sqref>
                        </c15:fullRef>
                        <c15:formulaRef>
                          <c15:sqref>Annualized!$V$29:$X$29</c15:sqref>
                        </c15:formulaRef>
                      </c:ext>
                    </c:extLst>
                    <c:strCache>
                      <c:ptCount val="3"/>
                      <c:pt idx="0">
                        <c:v>Pin Disc</c:v>
                      </c:pt>
                      <c:pt idx="1">
                        <c:v>ADV+ Disc. </c:v>
                      </c:pt>
                      <c:pt idx="2">
                        <c:v>Saas  Disc.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Annualized!$Q$30:$AA$30</c15:sqref>
                        </c15:fullRef>
                        <c15:formulaRef>
                          <c15:sqref>Annualized!$V$30:$X$30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3"/>
                      <c:pt idx="0" formatCode="_(* #,##0.00_);_(* \(#,##0.00\);_(* &quot;-&quot;??_);_(@_)">
                        <c:v>4.8493437801101313</c:v>
                      </c:pt>
                      <c:pt idx="1" formatCode="_(* #,##0.00_);_(* \(#,##0.00\);_(* &quot;-&quot;??_);_(@_)">
                        <c:v>2.752582165532981</c:v>
                      </c:pt>
                      <c:pt idx="2" formatCode="_(* #,##0.00_);_(* \(#,##0.00\);_(* &quot;-&quot;??_);_(@_)">
                        <c:v>11.541462685548893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FFEF-40FA-893E-BFD25E6C8FC7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Annualized!$P$31</c15:sqref>
                        </c15:formulaRef>
                      </c:ext>
                    </c:extLst>
                    <c:strCache>
                      <c:ptCount val="1"/>
                      <c:pt idx="0">
                        <c:v>Deliverit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2417-4A37-88FD-3C1933AEEEF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2417-4A37-88FD-3C1933AEEEF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2417-4A37-88FD-3C1933AEEEF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Annualized!$V$29:$X$29</c15:sqref>
                        </c15:formulaRef>
                      </c:ext>
                    </c:extLst>
                    <c:strCache>
                      <c:ptCount val="3"/>
                      <c:pt idx="0">
                        <c:v>Pin Disc</c:v>
                      </c:pt>
                      <c:pt idx="1">
                        <c:v>ADV+ Disc. </c:v>
                      </c:pt>
                      <c:pt idx="2">
                        <c:v>Saas  Disc.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Annualized!$Q$31:$AA$31</c15:sqref>
                        </c15:fullRef>
                        <c15:formulaRef>
                          <c15:sqref>Annualized!$V$31:$X$31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3"/>
                      <c:pt idx="0" formatCode="_(* #,##0.00_);_(* \(#,##0.00\);_(* &quot;-&quot;??_);_(@_)">
                        <c:v>5.1757202284091575</c:v>
                      </c:pt>
                      <c:pt idx="1" formatCode="_(* #,##0.00_);_(* \(#,##0.00\);_(* &quot;-&quot;??_);_(@_)">
                        <c:v>0</c:v>
                      </c:pt>
                      <c:pt idx="2" formatCode="_(* #,##0.00_);_(* \(#,##0.00\);_(* &quot;-&quot;??_);_(@_)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FFEF-40FA-893E-BFD25E6C8FC7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Annualized!$P$32</c15:sqref>
                        </c15:formulaRef>
                      </c:ext>
                    </c:extLst>
                    <c:strCache>
                      <c:ptCount val="1"/>
                      <c:pt idx="0">
                        <c:v>Ordermate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2417-4A37-88FD-3C1933AEEEF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2417-4A37-88FD-3C1933AEEEF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2417-4A37-88FD-3C1933AEEEF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Annualized!$V$29:$X$29</c15:sqref>
                        </c15:formulaRef>
                      </c:ext>
                    </c:extLst>
                    <c:strCache>
                      <c:ptCount val="3"/>
                      <c:pt idx="0">
                        <c:v>Pin Disc</c:v>
                      </c:pt>
                      <c:pt idx="1">
                        <c:v>ADV+ Disc. </c:v>
                      </c:pt>
                      <c:pt idx="2">
                        <c:v>Saas  Disc.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Annualized!$Q$32:$AA$32</c15:sqref>
                        </c15:fullRef>
                        <c15:formulaRef>
                          <c15:sqref>Annualized!$V$32:$X$32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3"/>
                      <c:pt idx="0" formatCode="_(* #,##0.00_);_(* \(#,##0.00\);_(* &quot;-&quot;??_);_(@_)">
                        <c:v>5.3398361607011715</c:v>
                      </c:pt>
                      <c:pt idx="1" formatCode="_(* #,##0.00_);_(* \(#,##0.00\);_(* &quot;-&quot;??_);_(@_)">
                        <c:v>3.3092582103253045</c:v>
                      </c:pt>
                      <c:pt idx="2" formatCode="_(* #,##0.00_);_(* \(#,##0.00\);_(* &quot;-&quot;??_);_(@_)">
                        <c:v>11.768180141086832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FFEF-40FA-893E-BFD25E6C8FC7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Annualized!$P$33</c15:sqref>
                        </c15:formulaRef>
                      </c:ext>
                    </c:extLst>
                    <c:strCache>
                      <c:ptCount val="1"/>
                      <c:pt idx="0">
                        <c:v>SwiftPOS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9-2417-4A37-88FD-3C1933AEEEF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B-2417-4A37-88FD-3C1933AEEEF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D-2417-4A37-88FD-3C1933AEEEF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Annualized!$V$29:$X$29</c15:sqref>
                        </c15:formulaRef>
                      </c:ext>
                    </c:extLst>
                    <c:strCache>
                      <c:ptCount val="3"/>
                      <c:pt idx="0">
                        <c:v>Pin Disc</c:v>
                      </c:pt>
                      <c:pt idx="1">
                        <c:v>ADV+ Disc. </c:v>
                      </c:pt>
                      <c:pt idx="2">
                        <c:v>Saas  Disc.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Annualized!$Q$33:$AA$33</c15:sqref>
                        </c15:fullRef>
                        <c15:formulaRef>
                          <c15:sqref>Annualized!$V$33:$X$33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3"/>
                      <c:pt idx="0" formatCode="_(* #,##0.00_);_(* \(#,##0.00\);_(* &quot;-&quot;??_);_(@_)">
                        <c:v>0.79551472711011761</c:v>
                      </c:pt>
                      <c:pt idx="1" formatCode="_(* #,##0.00_);_(* \(#,##0.00\);_(* &quot;-&quot;??_);_(@_)">
                        <c:v>0</c:v>
                      </c:pt>
                      <c:pt idx="2" formatCode="_(* #,##0.00_);_(* \(#,##0.00\);_(* &quot;-&quot;??_);_(@_)">
                        <c:v>0.14798791386902146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FFEF-40FA-893E-BFD25E6C8FC7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Annualized!$P$34</c15:sqref>
                        </c15:formulaRef>
                      </c:ext>
                    </c:extLst>
                    <c:strCache>
                      <c:ptCount val="1"/>
                      <c:pt idx="0">
                        <c:v>SwiftPOS Reseller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F-2417-4A37-88FD-3C1933AEEEF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1-2417-4A37-88FD-3C1933AEEEF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3-2417-4A37-88FD-3C1933AEEEF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Annualized!$V$29:$X$29</c15:sqref>
                        </c15:formulaRef>
                      </c:ext>
                    </c:extLst>
                    <c:strCache>
                      <c:ptCount val="3"/>
                      <c:pt idx="0">
                        <c:v>Pin Disc</c:v>
                      </c:pt>
                      <c:pt idx="1">
                        <c:v>ADV+ Disc. </c:v>
                      </c:pt>
                      <c:pt idx="2">
                        <c:v>Saas  Disc.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Annualized!$Q$34:$AA$34</c15:sqref>
                        </c15:fullRef>
                        <c15:formulaRef>
                          <c15:sqref>Annualized!$V$34:$X$34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3"/>
                      <c:pt idx="0" formatCode="_(* #,##0.00_);_(* \(#,##0.00\);_(* &quot;-&quot;??_);_(@_)">
                        <c:v>9.0933981533576436</c:v>
                      </c:pt>
                      <c:pt idx="1" formatCode="_(* #,##0.00_);_(* \(#,##0.00\);_(* &quot;-&quot;??_);_(@_)">
                        <c:v>0</c:v>
                      </c:pt>
                      <c:pt idx="2" formatCode="_(* #,##0.00_);_(* \(#,##0.00\);_(* &quot;-&quot;??_);_(@_)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FFEF-40FA-893E-BFD25E6C8FC7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Annualized!$P$35</c15:sqref>
                        </c15:formulaRef>
                      </c:ext>
                    </c:extLst>
                    <c:strCache>
                      <c:ptCount val="1"/>
                      <c:pt idx="0">
                        <c:v>IdealPOS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5-2417-4A37-88FD-3C1933AEEEF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7-2417-4A37-88FD-3C1933AEEEF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9-2417-4A37-88FD-3C1933AEEEF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Annualized!$V$29:$X$29</c15:sqref>
                        </c15:formulaRef>
                      </c:ext>
                    </c:extLst>
                    <c:strCache>
                      <c:ptCount val="3"/>
                      <c:pt idx="0">
                        <c:v>Pin Disc</c:v>
                      </c:pt>
                      <c:pt idx="1">
                        <c:v>ADV+ Disc. </c:v>
                      </c:pt>
                      <c:pt idx="2">
                        <c:v>Saas  Disc.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Annualized!$Q$35:$AA$35</c15:sqref>
                        </c15:fullRef>
                        <c15:formulaRef>
                          <c15:sqref>Annualized!$V$35:$X$35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3"/>
                      <c:pt idx="0" formatCode="_(* #,##0.00_);_(* \(#,##0.00\);_(* &quot;-&quot;??_);_(@_)">
                        <c:v>-2.7833481733868872</c:v>
                      </c:pt>
                      <c:pt idx="1" formatCode="_(* #,##0.00_);_(* \(#,##0.00\);_(* &quot;-&quot;??_);_(@_)">
                        <c:v>1.6451199116816886</c:v>
                      </c:pt>
                      <c:pt idx="2" formatCode="_(* #,##0.00_);_(* \(#,##0.00\);_(* &quot;-&quot;??_);_(@_)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5-FFEF-40FA-893E-BFD25E6C8FC7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Annualized!$P$36</c15:sqref>
                        </c15:formulaRef>
                      </c:ext>
                    </c:extLst>
                    <c:strCache>
                      <c:ptCount val="1"/>
                      <c:pt idx="0">
                        <c:v>IdealPOS Reseller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B-2417-4A37-88FD-3C1933AEEEF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D-2417-4A37-88FD-3C1933AEEEF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F-2417-4A37-88FD-3C1933AEEEF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Annualized!$V$29:$X$29</c15:sqref>
                        </c15:formulaRef>
                      </c:ext>
                    </c:extLst>
                    <c:strCache>
                      <c:ptCount val="3"/>
                      <c:pt idx="0">
                        <c:v>Pin Disc</c:v>
                      </c:pt>
                      <c:pt idx="1">
                        <c:v>ADV+ Disc. </c:v>
                      </c:pt>
                      <c:pt idx="2">
                        <c:v>Saas  Disc.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Annualized!$Q$36:$AA$36</c15:sqref>
                        </c15:fullRef>
                        <c15:formulaRef>
                          <c15:sqref>Annualized!$V$36:$X$36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3"/>
                      <c:pt idx="0" formatCode="_(* #,##0.00_);_(* \(#,##0.00\);_(* &quot;-&quot;??_);_(@_)">
                        <c:v>10.503405712157805</c:v>
                      </c:pt>
                      <c:pt idx="1" formatCode="_(* #,##0.00_);_(* \(#,##0.00\);_(* &quot;-&quot;??_);_(@_)">
                        <c:v>0</c:v>
                      </c:pt>
                      <c:pt idx="2" formatCode="_(* #,##0.00_);_(* \(#,##0.00\);_(* &quot;-&quot;??_);_(@_)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6-FFEF-40FA-893E-BFD25E6C8FC7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Annualized!$P$37</c15:sqref>
                        </c15:formulaRef>
                      </c:ext>
                    </c:extLst>
                    <c:strCache>
                      <c:ptCount val="1"/>
                      <c:pt idx="0">
                        <c:v>Oolio Pay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1-2417-4A37-88FD-3C1933AEEEF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3-2417-4A37-88FD-3C1933AEEEF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5-2417-4A37-88FD-3C1933AEEEF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Annualized!$V$29:$X$29</c15:sqref>
                        </c15:formulaRef>
                      </c:ext>
                    </c:extLst>
                    <c:strCache>
                      <c:ptCount val="3"/>
                      <c:pt idx="0">
                        <c:v>Pin Disc</c:v>
                      </c:pt>
                      <c:pt idx="1">
                        <c:v>ADV+ Disc. </c:v>
                      </c:pt>
                      <c:pt idx="2">
                        <c:v>Saas  Disc.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Annualized!$Q$37:$AA$37</c15:sqref>
                        </c15:fullRef>
                        <c15:formulaRef>
                          <c15:sqref>Annualized!$V$37:$X$37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3"/>
                      <c:pt idx="0" formatCode="_(* #,##0.00_);_(* \(#,##0.00\);_(* &quot;-&quot;??_);_(@_)">
                        <c:v>1.3326489070654797</c:v>
                      </c:pt>
                      <c:pt idx="1" formatCode="_(* #,##0.00_);_(* \(#,##0.00\);_(* &quot;-&quot;??_);_(@_)">
                        <c:v>0</c:v>
                      </c:pt>
                      <c:pt idx="2" formatCode="_(* #,##0.00_);_(* \(#,##0.00\);_(* &quot;-&quot;??_);_(@_)">
                        <c:v>1.6301151809640242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FFEF-40FA-893E-BFD25E6C8FC7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Annualized!$P$38</c15:sqref>
                        </c15:formulaRef>
                      </c:ext>
                    </c:extLst>
                    <c:strCache>
                      <c:ptCount val="1"/>
                      <c:pt idx="0">
                        <c:v>Oolio Platform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7-2417-4A37-88FD-3C1933AEEEF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9-2417-4A37-88FD-3C1933AEEEF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B-2417-4A37-88FD-3C1933AEEEF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Annualized!$V$29:$X$29</c15:sqref>
                        </c15:formulaRef>
                      </c:ext>
                    </c:extLst>
                    <c:strCache>
                      <c:ptCount val="3"/>
                      <c:pt idx="0">
                        <c:v>Pin Disc</c:v>
                      </c:pt>
                      <c:pt idx="1">
                        <c:v>ADV+ Disc. </c:v>
                      </c:pt>
                      <c:pt idx="2">
                        <c:v>Saas  Disc.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Annualized!$Q$38:$AA$38</c15:sqref>
                        </c15:fullRef>
                        <c15:formulaRef>
                          <c15:sqref>Annualized!$V$38:$X$38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3"/>
                      <c:pt idx="0" formatCode="_(* #,##0.00_);_(* \(#,##0.00\);_(* &quot;-&quot;??_);_(@_)">
                        <c:v>7.2718696728906496</c:v>
                      </c:pt>
                      <c:pt idx="1" formatCode="_(* #,##0.00_);_(* \(#,##0.00\);_(* &quot;-&quot;??_);_(@_)">
                        <c:v>6.8201178170753618</c:v>
                      </c:pt>
                      <c:pt idx="2" formatCode="_(* #,##0.00_);_(* \(#,##0.00\);_(* &quot;-&quot;??_);_(@_)">
                        <c:v>9.6719346012925325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8-FFEF-40FA-893E-BFD25E6C8FC7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Annualized!$P$39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D-2417-4A37-88FD-3C1933AEEEF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F-2417-4A37-88FD-3C1933AEEEF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1-2417-4A37-88FD-3C1933AEEEF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Annualized!$V$29:$X$29</c15:sqref>
                        </c15:formulaRef>
                      </c:ext>
                    </c:extLst>
                    <c:strCache>
                      <c:ptCount val="3"/>
                      <c:pt idx="0">
                        <c:v>Pin Disc</c:v>
                      </c:pt>
                      <c:pt idx="1">
                        <c:v>ADV+ Disc. </c:v>
                      </c:pt>
                      <c:pt idx="2">
                        <c:v>Saas  Disc.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Annualized!$Q$39:$AA$39</c15:sqref>
                        </c15:fullRef>
                        <c15:formulaRef>
                          <c15:sqref>Annualized!$V$39:$X$39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3"/>
                      <c:pt idx="0" formatCode="_(* #,##0.00_);_(* \(#,##0.00\);_(* &quot;-&quot;??_);_(@_)">
                        <c:v>0</c:v>
                      </c:pt>
                      <c:pt idx="1" formatCode="_(* #,##0.00_);_(* \(#,##0.00\);_(* &quot;-&quot;??_);_(@_)">
                        <c:v>0</c:v>
                      </c:pt>
                      <c:pt idx="2" formatCode="_(* #,##0.00_);_(* \(#,##0.00\);_(* &quot;-&quot;??_);_(@_)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9-FFEF-40FA-893E-BFD25E6C8FC7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600" b="1">
                <a:solidFill>
                  <a:srgbClr val="002060"/>
                </a:solidFill>
              </a:rPr>
              <a:t>GTV</a:t>
            </a:r>
            <a:r>
              <a:rPr lang="en-AU" sz="1600" b="1" baseline="0">
                <a:solidFill>
                  <a:srgbClr val="002060"/>
                </a:solidFill>
              </a:rPr>
              <a:t> by Card Type</a:t>
            </a:r>
            <a:endParaRPr lang="en-AU" sz="16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view3D>
      <c:rotX val="30"/>
      <c:rotY val="193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32E-4437-9B2F-C3B3C79CD1C1}"/>
              </c:ext>
            </c:extLst>
          </c:dPt>
          <c:dLbls>
            <c:dLbl>
              <c:idx val="0"/>
              <c:layout>
                <c:manualLayout>
                  <c:x val="6.009601325333816E-2"/>
                  <c:y val="-0.223118312078252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2E-4437-9B2F-C3B3C79CD1C1}"/>
                </c:ext>
              </c:extLst>
            </c:dLbl>
            <c:dLbl>
              <c:idx val="2"/>
              <c:layout>
                <c:manualLayout>
                  <c:x val="7.4254193694055174E-3"/>
                  <c:y val="-2.5745583423455797E-2"/>
                </c:manualLayout>
              </c:layout>
              <c:tx>
                <c:rich>
                  <a:bodyPr/>
                  <a:lstStyle/>
                  <a:p>
                    <a:fld id="{8EC4AB1E-BC2A-4F7B-8BB3-624ED95FDC4B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6979DACF-EBA0-4B5B-BD2A-1526F67F775F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32E-4437-9B2F-C3B3C79CD1C1}"/>
                </c:ext>
              </c:extLst>
            </c:dLbl>
            <c:dLbl>
              <c:idx val="5"/>
              <c:layout>
                <c:manualLayout>
                  <c:x val="4.3713981428460592E-2"/>
                  <c:y val="-8.3176842730832562E-3"/>
                </c:manualLayout>
              </c:layout>
              <c:tx>
                <c:rich>
                  <a:bodyPr/>
                  <a:lstStyle/>
                  <a:p>
                    <a:fld id="{728DD82C-E52D-4F18-A54D-08915C23BB0E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452ECB15-FAAC-49D5-B754-F48E74A38E9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32E-4437-9B2F-C3B3C79CD1C1}"/>
                </c:ext>
              </c:extLst>
            </c:dLbl>
            <c:dLbl>
              <c:idx val="6"/>
              <c:layout>
                <c:manualLayout>
                  <c:x val="5.8110698833396049E-2"/>
                  <c:y val="1.4705653701700782E-2"/>
                </c:manualLayout>
              </c:layout>
              <c:tx>
                <c:rich>
                  <a:bodyPr/>
                  <a:lstStyle/>
                  <a:p>
                    <a:fld id="{95E69FE9-3B77-45CB-AE89-0D2C9852F0D5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D4B1AF89-18F9-4CC6-B660-E4B8072B581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732E-4437-9B2F-C3B3C79CD1C1}"/>
                </c:ext>
              </c:extLst>
            </c:dLbl>
            <c:dLbl>
              <c:idx val="7"/>
              <c:layout>
                <c:manualLayout>
                  <c:x val="4.1583470595516155E-2"/>
                  <c:y val="1.2682001306055683E-2"/>
                </c:manualLayout>
              </c:layout>
              <c:tx>
                <c:rich>
                  <a:bodyPr/>
                  <a:lstStyle/>
                  <a:p>
                    <a:fld id="{DE76194D-AEDA-4AFB-B5C1-635C571910C2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BB96382C-E6B0-4E3C-B642-6BAA886DF2B4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732E-4437-9B2F-C3B3C79CD1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Card'!$C$4:$J$4</c:f>
              <c:numCache>
                <c:formatCode>_-"$"* #,##0_-;\-"$"* #,##0_-;_-"$"* "-"??_-;_-@_-</c:formatCode>
                <c:ptCount val="8"/>
                <c:pt idx="0">
                  <c:v>3513336.72</c:v>
                </c:pt>
                <c:pt idx="1">
                  <c:v>22346622.780000009</c:v>
                </c:pt>
                <c:pt idx="2">
                  <c:v>2616131.8100000015</c:v>
                </c:pt>
                <c:pt idx="3">
                  <c:v>15284097.470000001</c:v>
                </c:pt>
                <c:pt idx="4">
                  <c:v>16780190.190000013</c:v>
                </c:pt>
                <c:pt idx="5">
                  <c:v>3679803.4800000009</c:v>
                </c:pt>
                <c:pt idx="6">
                  <c:v>1832306.2899999998</c:v>
                </c:pt>
                <c:pt idx="7">
                  <c:v>1795722.3000000005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F-4557-A1F1-46F5AC098A3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Card'!$C$5:$J$5</c:f>
              <c:numCache>
                <c:formatCode>0.00%</c:formatCode>
                <c:ptCount val="8"/>
                <c:pt idx="0">
                  <c:v>5.1782304443203475E-2</c:v>
                </c:pt>
                <c:pt idx="1">
                  <c:v>0.32936200435447771</c:v>
                </c:pt>
                <c:pt idx="2">
                  <c:v>3.8558596754417841E-2</c:v>
                </c:pt>
                <c:pt idx="3">
                  <c:v>0.22526898256741415</c:v>
                </c:pt>
                <c:pt idx="4">
                  <c:v>0.24731956720431766</c:v>
                </c:pt>
                <c:pt idx="5">
                  <c:v>5.4235821749678365E-2</c:v>
                </c:pt>
                <c:pt idx="6">
                  <c:v>2.700596319215787E-2</c:v>
                </c:pt>
                <c:pt idx="7">
                  <c:v>2.6466759734333004E-2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F-4557-A1F1-46F5AC098A38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Card'!$C$6:$J$6</c:f>
              <c:numCache>
                <c:formatCode>_-"$"* #,##0_-;\-"$"* #,##0_-;_-"$"* "-"??_-;_-@_-</c:formatCode>
                <c:ptCount val="8"/>
                <c:pt idx="0">
                  <c:v>28971.789999999994</c:v>
                </c:pt>
                <c:pt idx="1">
                  <c:v>992912.44000000029</c:v>
                </c:pt>
                <c:pt idx="2">
                  <c:v>99801.569999999992</c:v>
                </c:pt>
                <c:pt idx="3">
                  <c:v>577670.54000000015</c:v>
                </c:pt>
                <c:pt idx="4">
                  <c:v>345338.64000000013</c:v>
                </c:pt>
                <c:pt idx="5">
                  <c:v>128398</c:v>
                </c:pt>
                <c:pt idx="6">
                  <c:v>8759.07</c:v>
                </c:pt>
                <c:pt idx="7">
                  <c:v>15389.529999999999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DF-4557-A1F1-46F5AC098A38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Card'!$C$7:$J$7</c:f>
              <c:numCache>
                <c:formatCode>0.00%</c:formatCode>
                <c:ptCount val="8"/>
                <c:pt idx="0">
                  <c:v>1.3185527828942684E-2</c:v>
                </c:pt>
                <c:pt idx="1">
                  <c:v>0.45189042890768538</c:v>
                </c:pt>
                <c:pt idx="2">
                  <c:v>4.5421300465286113E-2</c:v>
                </c:pt>
                <c:pt idx="3">
                  <c:v>0.26290715834714912</c:v>
                </c:pt>
                <c:pt idx="4">
                  <c:v>0.15716917208530165</c:v>
                </c:pt>
                <c:pt idx="5">
                  <c:v>5.8435995918118384E-2</c:v>
                </c:pt>
                <c:pt idx="6">
                  <c:v>3.9863937036909705E-3</c:v>
                </c:pt>
                <c:pt idx="7">
                  <c:v>7.0040227438259196E-3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DF-4557-A1F1-46F5AC098A38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Card'!$C$8:$J$8</c:f>
              <c:numCache>
                <c:formatCode>_-"$"* #,##0_-;\-"$"* #,##0_-;_-"$"* "-"??_-;_-@_-</c:formatCode>
                <c:ptCount val="8"/>
                <c:pt idx="0">
                  <c:v>3451836.4899999993</c:v>
                </c:pt>
                <c:pt idx="1">
                  <c:v>14232255.489999998</c:v>
                </c:pt>
                <c:pt idx="2">
                  <c:v>2063144.4300000002</c:v>
                </c:pt>
                <c:pt idx="3">
                  <c:v>10380845.669999996</c:v>
                </c:pt>
                <c:pt idx="4">
                  <c:v>14191344.989999996</c:v>
                </c:pt>
                <c:pt idx="5">
                  <c:v>3283670.7599999988</c:v>
                </c:pt>
                <c:pt idx="6">
                  <c:v>1251747</c:v>
                </c:pt>
                <c:pt idx="7">
                  <c:v>1056702.6200000001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DF-4557-A1F1-46F5AC098A38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Card'!$C$9:$J$9</c:f>
              <c:numCache>
                <c:formatCode>0.00%</c:formatCode>
                <c:ptCount val="8"/>
                <c:pt idx="0">
                  <c:v>6.9159075732082936E-2</c:v>
                </c:pt>
                <c:pt idx="1">
                  <c:v>0.28514955390348257</c:v>
                </c:pt>
                <c:pt idx="2">
                  <c:v>4.1336014117109909E-2</c:v>
                </c:pt>
                <c:pt idx="3">
                  <c:v>0.20798484920547181</c:v>
                </c:pt>
                <c:pt idx="4">
                  <c:v>0.28432989388310381</c:v>
                </c:pt>
                <c:pt idx="5">
                  <c:v>6.5789800712740681E-2</c:v>
                </c:pt>
                <c:pt idx="6">
                  <c:v>2.507930657237117E-2</c:v>
                </c:pt>
                <c:pt idx="7">
                  <c:v>2.1171505873637274E-2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DF-4557-A1F1-46F5AC098A38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Card'!$C$10:$J$10</c:f>
              <c:numCache>
                <c:formatCode>_-"$"* #,##0_-;\-"$"* #,##0_-;_-"$"* "-"??_-;_-@_-</c:formatCode>
                <c:ptCount val="8"/>
                <c:pt idx="0">
                  <c:v>204984.90000000002</c:v>
                </c:pt>
                <c:pt idx="1">
                  <c:v>2129764.1300000013</c:v>
                </c:pt>
                <c:pt idx="2">
                  <c:v>270174.44999999995</c:v>
                </c:pt>
                <c:pt idx="3">
                  <c:v>1703842.1900000004</c:v>
                </c:pt>
                <c:pt idx="4">
                  <c:v>1710872.9400000004</c:v>
                </c:pt>
                <c:pt idx="5">
                  <c:v>351036.35000000009</c:v>
                </c:pt>
                <c:pt idx="6">
                  <c:v>143753.76000000015</c:v>
                </c:pt>
                <c:pt idx="7">
                  <c:v>145986.39999999991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DF-4557-A1F1-46F5AC098A38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Card'!$C$11:$J$11</c:f>
              <c:numCache>
                <c:formatCode>0.00%</c:formatCode>
                <c:ptCount val="8"/>
                <c:pt idx="0">
                  <c:v>3.0776595198168361E-2</c:v>
                </c:pt>
                <c:pt idx="1">
                  <c:v>0.31976447287868154</c:v>
                </c:pt>
                <c:pt idx="2">
                  <c:v>4.0564205853883747E-2</c:v>
                </c:pt>
                <c:pt idx="3">
                  <c:v>0.25581621555144146</c:v>
                </c:pt>
                <c:pt idx="4">
                  <c:v>0.25687181792356506</c:v>
                </c:pt>
                <c:pt idx="5">
                  <c:v>5.2704875548357705E-2</c:v>
                </c:pt>
                <c:pt idx="6">
                  <c:v>2.1583303354220974E-2</c:v>
                </c:pt>
                <c:pt idx="7">
                  <c:v>2.1918513691681105E-2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DF-4557-A1F1-46F5AC098A38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Card'!$C$12:$J$12</c:f>
              <c:numCache>
                <c:formatCode>_-"$"* #,##0_-;\-"$"* #,##0_-;_-"$"* "-"??_-;_-@_-</c:formatCode>
                <c:ptCount val="8"/>
                <c:pt idx="0">
                  <c:v>10150.43</c:v>
                </c:pt>
                <c:pt idx="1">
                  <c:v>163384.25000000003</c:v>
                </c:pt>
                <c:pt idx="2">
                  <c:v>22548.799999999996</c:v>
                </c:pt>
                <c:pt idx="3">
                  <c:v>79880.649999999994</c:v>
                </c:pt>
                <c:pt idx="4">
                  <c:v>124934.34000000003</c:v>
                </c:pt>
                <c:pt idx="5">
                  <c:v>24332.050000000003</c:v>
                </c:pt>
                <c:pt idx="6">
                  <c:v>2978.54</c:v>
                </c:pt>
                <c:pt idx="7">
                  <c:v>3211.2799999999997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DF-4557-A1F1-46F5AC098A38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Card'!$C$13:$J$13</c:f>
              <c:numCache>
                <c:formatCode>0.00%</c:formatCode>
                <c:ptCount val="8"/>
                <c:pt idx="0">
                  <c:v>2.3527935655514063E-2</c:v>
                </c:pt>
                <c:pt idx="1">
                  <c:v>0.37871244086451744</c:v>
                </c:pt>
                <c:pt idx="2">
                  <c:v>5.2266427679325447E-2</c:v>
                </c:pt>
                <c:pt idx="3">
                  <c:v>0.18515735720759013</c:v>
                </c:pt>
                <c:pt idx="4">
                  <c:v>0.28958843247863564</c:v>
                </c:pt>
                <c:pt idx="5">
                  <c:v>5.6399867470319089E-2</c:v>
                </c:pt>
                <c:pt idx="6">
                  <c:v>6.9040323875318435E-3</c:v>
                </c:pt>
                <c:pt idx="7">
                  <c:v>7.4435062565663904E-3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DF-4557-A1F1-46F5AC098A38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Card'!$C$14:$J$14</c:f>
              <c:numCache>
                <c:formatCode>_-"$"* #,##0_-;\-"$"* #,##0_-;_-"$"* "-"??_-;_-@_-</c:formatCode>
                <c:ptCount val="8"/>
                <c:pt idx="0">
                  <c:v>158854.65000000002</c:v>
                </c:pt>
                <c:pt idx="1">
                  <c:v>2604721.9599999995</c:v>
                </c:pt>
                <c:pt idx="2">
                  <c:v>270902.85000000003</c:v>
                </c:pt>
                <c:pt idx="3">
                  <c:v>1362981.5900000005</c:v>
                </c:pt>
                <c:pt idx="4">
                  <c:v>1382177.67</c:v>
                </c:pt>
                <c:pt idx="5">
                  <c:v>368459.10000000033</c:v>
                </c:pt>
                <c:pt idx="6">
                  <c:v>72423.789999999994</c:v>
                </c:pt>
                <c:pt idx="7">
                  <c:v>80688.459999999977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DF-4557-A1F1-46F5AC098A38}"/>
            </c:ext>
          </c:extLst>
        </c:ser>
        <c:ser>
          <c:idx val="11"/>
          <c:order val="1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Card'!$C$15:$J$15</c:f>
              <c:numCache>
                <c:formatCode>0.00%</c:formatCode>
                <c:ptCount val="8"/>
                <c:pt idx="0">
                  <c:v>2.5210181573902046E-2</c:v>
                </c:pt>
                <c:pt idx="1">
                  <c:v>0.41336853256187339</c:v>
                </c:pt>
                <c:pt idx="2">
                  <c:v>4.299219467222111E-2</c:v>
                </c:pt>
                <c:pt idx="3">
                  <c:v>0.21630473748036788</c:v>
                </c:pt>
                <c:pt idx="4">
                  <c:v>0.21935114916744869</c:v>
                </c:pt>
                <c:pt idx="5">
                  <c:v>5.847433999292144E-2</c:v>
                </c:pt>
                <c:pt idx="6">
                  <c:v>1.1493632047725079E-2</c:v>
                </c:pt>
                <c:pt idx="7">
                  <c:v>1.2805232503540383E-2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DF-4557-A1F1-46F5AC098A38}"/>
            </c:ext>
          </c:extLst>
        </c:ser>
        <c:ser>
          <c:idx val="12"/>
          <c:order val="1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Card'!$C$16:$J$16</c:f>
              <c:numCache>
                <c:formatCode>_-"$"* #,##0_-;\-"$"* #,##0_-;_-"$"* "-"??_-;_-@_-</c:formatCode>
                <c:ptCount val="8"/>
                <c:pt idx="0">
                  <c:v>74247.37999999999</c:v>
                </c:pt>
                <c:pt idx="1">
                  <c:v>740799.37999999989</c:v>
                </c:pt>
                <c:pt idx="2">
                  <c:v>84684.25999999998</c:v>
                </c:pt>
                <c:pt idx="3">
                  <c:v>442880.75</c:v>
                </c:pt>
                <c:pt idx="4">
                  <c:v>535515.33999999973</c:v>
                </c:pt>
                <c:pt idx="5">
                  <c:v>126869.26000000002</c:v>
                </c:pt>
                <c:pt idx="6">
                  <c:v>39136.29</c:v>
                </c:pt>
                <c:pt idx="7">
                  <c:v>42223.59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DF-4557-A1F1-46F5AC098A38}"/>
            </c:ext>
          </c:extLst>
        </c:ser>
        <c:ser>
          <c:idx val="13"/>
          <c:order val="1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Card'!$C$17:$J$17</c:f>
              <c:numCache>
                <c:formatCode>0.00%</c:formatCode>
                <c:ptCount val="8"/>
                <c:pt idx="0">
                  <c:v>3.5587105509905126E-2</c:v>
                </c:pt>
                <c:pt idx="1">
                  <c:v>0.35506849800938833</c:v>
                </c:pt>
                <c:pt idx="2">
                  <c:v>4.0589549363873011E-2</c:v>
                </c:pt>
                <c:pt idx="3">
                  <c:v>0.21227474933870955</c:v>
                </c:pt>
                <c:pt idx="4">
                  <c:v>0.25667492787964652</c:v>
                </c:pt>
                <c:pt idx="5">
                  <c:v>6.0809010925147622E-2</c:v>
                </c:pt>
                <c:pt idx="6">
                  <c:v>1.8758201050276049E-2</c:v>
                </c:pt>
                <c:pt idx="7">
                  <c:v>2.0237957923053648E-2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BDF-4557-A1F1-46F5AC098A38}"/>
            </c:ext>
          </c:extLst>
        </c:ser>
        <c:ser>
          <c:idx val="14"/>
          <c:order val="1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Card'!$C$18:$J$18</c:f>
              <c:numCache>
                <c:formatCode>_-"$"* #,##0_-;\-"$"* #,##0_-;_-"$"* "-"??_-;_-@_-</c:formatCode>
                <c:ptCount val="8"/>
                <c:pt idx="0">
                  <c:v>206020.00000000009</c:v>
                </c:pt>
                <c:pt idx="1">
                  <c:v>3049936.5900000003</c:v>
                </c:pt>
                <c:pt idx="2">
                  <c:v>358214.68000000028</c:v>
                </c:pt>
                <c:pt idx="3">
                  <c:v>2294382.3500000015</c:v>
                </c:pt>
                <c:pt idx="4">
                  <c:v>1813340.4600000007</c:v>
                </c:pt>
                <c:pt idx="5">
                  <c:v>538449.53000000014</c:v>
                </c:pt>
                <c:pt idx="6">
                  <c:v>111256.40999999999</c:v>
                </c:pt>
                <c:pt idx="7">
                  <c:v>118027.94000000002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DF-4557-A1F1-46F5AC098A38}"/>
            </c:ext>
          </c:extLst>
        </c:ser>
        <c:ser>
          <c:idx val="15"/>
          <c:order val="1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Card'!$C$19:$J$19</c:f>
              <c:numCache>
                <c:formatCode>0.00%</c:formatCode>
                <c:ptCount val="8"/>
                <c:pt idx="0">
                  <c:v>2.4267258938871099E-2</c:v>
                </c:pt>
                <c:pt idx="1">
                  <c:v>0.35925444605702123</c:v>
                </c:pt>
                <c:pt idx="2">
                  <c:v>4.2194390812857266E-2</c:v>
                </c:pt>
                <c:pt idx="3">
                  <c:v>0.27025711383470341</c:v>
                </c:pt>
                <c:pt idx="4">
                  <c:v>0.21359480869406675</c:v>
                </c:pt>
                <c:pt idx="5">
                  <c:v>6.3424396515015247E-2</c:v>
                </c:pt>
                <c:pt idx="6">
                  <c:v>1.3104980633332718E-2</c:v>
                </c:pt>
                <c:pt idx="7">
                  <c:v>1.3902604514132322E-2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BDF-4557-A1F1-46F5AC098A38}"/>
            </c:ext>
          </c:extLst>
        </c:ser>
        <c:ser>
          <c:idx val="16"/>
          <c:order val="1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Card'!$C$20:$J$20</c:f>
              <c:numCache>
                <c:formatCode>_-"$"* #,##0_-;\-"$"* #,##0_-;_-"$"* "-"??_-;_-@_-</c:formatCode>
                <c:ptCount val="8"/>
                <c:pt idx="0">
                  <c:v>4644.67</c:v>
                </c:pt>
                <c:pt idx="1">
                  <c:v>175277.07000000004</c:v>
                </c:pt>
                <c:pt idx="2">
                  <c:v>18714.93</c:v>
                </c:pt>
                <c:pt idx="3">
                  <c:v>86946.41</c:v>
                </c:pt>
                <c:pt idx="4">
                  <c:v>78192.75999999998</c:v>
                </c:pt>
                <c:pt idx="5">
                  <c:v>22509.51</c:v>
                </c:pt>
                <c:pt idx="6">
                  <c:v>1067.22</c:v>
                </c:pt>
                <c:pt idx="7">
                  <c:v>538.85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BDF-4557-A1F1-46F5AC098A38}"/>
            </c:ext>
          </c:extLst>
        </c:ser>
        <c:ser>
          <c:idx val="17"/>
          <c:order val="17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Card'!$C$21:$J$21</c:f>
              <c:numCache>
                <c:formatCode>0.00%</c:formatCode>
                <c:ptCount val="8"/>
                <c:pt idx="0">
                  <c:v>1.1974149879365724E-2</c:v>
                </c:pt>
                <c:pt idx="1">
                  <c:v>0.45187147991053789</c:v>
                </c:pt>
                <c:pt idx="2">
                  <c:v>4.8247857609224766E-2</c:v>
                </c:pt>
                <c:pt idx="3">
                  <c:v>0.22415141330014465</c:v>
                </c:pt>
                <c:pt idx="4">
                  <c:v>0.20158414434637398</c:v>
                </c:pt>
                <c:pt idx="5">
                  <c:v>5.8030440580510899E-2</c:v>
                </c:pt>
                <c:pt idx="6">
                  <c:v>2.7513369591933741E-3</c:v>
                </c:pt>
                <c:pt idx="7">
                  <c:v>1.3891774146486662E-3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BDF-4557-A1F1-46F5AC098A38}"/>
            </c:ext>
          </c:extLst>
        </c:ser>
        <c:ser>
          <c:idx val="18"/>
          <c:order val="18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Card'!$C$22:$J$22</c:f>
              <c:numCache>
                <c:formatCode>_-"$"* #,##0_-;\-"$"* #,##0_-;_-"$"* "-"??_-;_-@_-</c:formatCode>
                <c:ptCount val="8"/>
                <c:pt idx="0">
                  <c:v>120700.87000000001</c:v>
                </c:pt>
                <c:pt idx="1">
                  <c:v>0</c:v>
                </c:pt>
                <c:pt idx="2">
                  <c:v>41308.69</c:v>
                </c:pt>
                <c:pt idx="3">
                  <c:v>508165.40999999992</c:v>
                </c:pt>
                <c:pt idx="4">
                  <c:v>142675.57</c:v>
                </c:pt>
                <c:pt idx="5">
                  <c:v>94535.090000000011</c:v>
                </c:pt>
                <c:pt idx="6">
                  <c:v>160029.21</c:v>
                </c:pt>
                <c:pt idx="7">
                  <c:v>233001.33000000005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BDF-4557-A1F1-46F5AC098A38}"/>
            </c:ext>
          </c:extLst>
        </c:ser>
        <c:ser>
          <c:idx val="19"/>
          <c:order val="19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Card'!$C$23:$J$23</c:f>
              <c:numCache>
                <c:formatCode>0.00%</c:formatCode>
                <c:ptCount val="8"/>
                <c:pt idx="0">
                  <c:v>9.2817109464272504E-2</c:v>
                </c:pt>
                <c:pt idx="1">
                  <c:v>0</c:v>
                </c:pt>
                <c:pt idx="2">
                  <c:v>3.1765746191851796E-2</c:v>
                </c:pt>
                <c:pt idx="3">
                  <c:v>0.39077137129108436</c:v>
                </c:pt>
                <c:pt idx="4">
                  <c:v>0.10971531521328283</c:v>
                </c:pt>
                <c:pt idx="5">
                  <c:v>7.2696027764711665E-2</c:v>
                </c:pt>
                <c:pt idx="6">
                  <c:v>0.12305999701618596</c:v>
                </c:pt>
                <c:pt idx="7">
                  <c:v>0.17917443305861078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BDF-4557-A1F1-46F5AC098A38}"/>
            </c:ext>
          </c:extLst>
        </c:ser>
        <c:ser>
          <c:idx val="20"/>
          <c:order val="2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Card'!$C$24:$J$24</c:f>
              <c:numCache>
                <c:formatCode>_-"$"* #,##0_-;\-"$"* #,##0_-;_-"$"* "-"??_-;_-@_-</c:formatCode>
                <c:ptCount val="8"/>
                <c:pt idx="0">
                  <c:v>7773747.9000000004</c:v>
                </c:pt>
                <c:pt idx="1">
                  <c:v>46435674.090000018</c:v>
                </c:pt>
                <c:pt idx="2">
                  <c:v>5845626.4700000016</c:v>
                </c:pt>
                <c:pt idx="3">
                  <c:v>32721693.030000001</c:v>
                </c:pt>
                <c:pt idx="4">
                  <c:v>37104582.900000006</c:v>
                </c:pt>
                <c:pt idx="5">
                  <c:v>8618063.129999999</c:v>
                </c:pt>
                <c:pt idx="6">
                  <c:v>3623457.5800000005</c:v>
                </c:pt>
                <c:pt idx="7">
                  <c:v>3491492.3000000003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BDF-4557-A1F1-46F5AC098A38}"/>
            </c:ext>
          </c:extLst>
        </c:ser>
        <c:ser>
          <c:idx val="21"/>
          <c:order val="2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FBDF-4557-A1F1-46F5AC098A38}"/>
              </c:ext>
            </c:extLst>
          </c:dPt>
          <c:dPt>
            <c:idx val="1"/>
            <c:bubble3D val="0"/>
            <c:explosion val="5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FBDF-4557-A1F1-46F5AC098A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FBDF-4557-A1F1-46F5AC098A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FBDF-4557-A1F1-46F5AC098A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FBDF-4557-A1F1-46F5AC098A3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FBDF-4557-A1F1-46F5AC098A3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FBDF-4557-A1F1-46F5AC098A3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FBDF-4557-A1F1-46F5AC098A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Card'!$C$25:$J$25</c:f>
              <c:numCache>
                <c:formatCode>0.00%</c:formatCode>
                <c:ptCount val="8"/>
                <c:pt idx="0">
                  <c:v>5.3385865052470796E-2</c:v>
                </c:pt>
                <c:pt idx="1">
                  <c:v>0.3188949091839286</c:v>
                </c:pt>
                <c:pt idx="2">
                  <c:v>4.0144577607741989E-2</c:v>
                </c:pt>
                <c:pt idx="3">
                  <c:v>0.22471475932322865</c:v>
                </c:pt>
                <c:pt idx="4">
                  <c:v>0.25481405893386583</c:v>
                </c:pt>
                <c:pt idx="5">
                  <c:v>5.9184162027154749E-2</c:v>
                </c:pt>
                <c:pt idx="6">
                  <c:v>2.4883932419423122E-2</c:v>
                </c:pt>
                <c:pt idx="7">
                  <c:v>2.3977666777635135E-2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BDF-4557-A1F1-46F5AC098A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rgbClr val="002060"/>
                </a:solidFill>
              </a:rPr>
              <a:t>COA</a:t>
            </a:r>
            <a:r>
              <a:rPr lang="en-AU" b="1" baseline="0">
                <a:solidFill>
                  <a:srgbClr val="002060"/>
                </a:solidFill>
              </a:rPr>
              <a:t> by Card Type as % of Total COA</a:t>
            </a:r>
            <a:endParaRPr lang="en-AU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view3D>
      <c:rotX val="30"/>
      <c:rotY val="226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483F-4F36-ABE2-29CE9AB7F3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483F-4F36-ABE2-29CE9AB7F3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483F-4F36-ABE2-29CE9AB7F3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483F-4F36-ABE2-29CE9AB7F3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483F-4F36-ABE2-29CE9AB7F34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483F-4F36-ABE2-29CE9AB7F346}"/>
              </c:ext>
            </c:extLst>
          </c:dPt>
          <c:dLbls>
            <c:dLbl>
              <c:idx val="4"/>
              <c:layout>
                <c:manualLayout>
                  <c:x val="-2.1628721034118543E-3"/>
                  <c:y val="-0.1422877908420001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483F-4F36-ABE2-29CE9AB7F3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Card'!$C$4:$J$4</c:f>
              <c:numCache>
                <c:formatCode>_-"$"* #,##0_-;\-"$"* #,##0_-;_-"$"* "-"??_-;_-@_-</c:formatCode>
                <c:ptCount val="8"/>
                <c:pt idx="0">
                  <c:v>59549.25</c:v>
                </c:pt>
                <c:pt idx="1">
                  <c:v>65026.41</c:v>
                </c:pt>
                <c:pt idx="2">
                  <c:v>16134.75</c:v>
                </c:pt>
                <c:pt idx="3">
                  <c:v>103319.73</c:v>
                </c:pt>
                <c:pt idx="4">
                  <c:v>169330</c:v>
                </c:pt>
                <c:pt idx="5">
                  <c:v>20841</c:v>
                </c:pt>
                <c:pt idx="6">
                  <c:v>55261.54</c:v>
                </c:pt>
                <c:pt idx="7">
                  <c:v>54948.93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F-4F36-ABE2-29CE9AB7F34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Card'!$C$5:$J$5</c:f>
              <c:numCache>
                <c:formatCode>0.00%</c:formatCode>
                <c:ptCount val="8"/>
                <c:pt idx="0">
                  <c:v>0.10938277014334798</c:v>
                </c:pt>
                <c:pt idx="1">
                  <c:v>0.11944346668139573</c:v>
                </c:pt>
                <c:pt idx="2">
                  <c:v>2.9637042457636053E-2</c:v>
                </c:pt>
                <c:pt idx="3">
                  <c:v>0.18978237807970333</c:v>
                </c:pt>
                <c:pt idx="4">
                  <c:v>0.31103304354585681</c:v>
                </c:pt>
                <c:pt idx="5">
                  <c:v>3.8281696453901858E-2</c:v>
                </c:pt>
                <c:pt idx="6">
                  <c:v>0.10150690945036973</c:v>
                </c:pt>
                <c:pt idx="7">
                  <c:v>0.10093269318778855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F-4F36-ABE2-29CE9AB7F346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Card'!$C$7:$J$7</c:f>
              <c:numCache>
                <c:formatCode>_-"$"* #,##0_-;\-"$"* #,##0_-;_-"$"* "-"??_-;_-@_-</c:formatCode>
                <c:ptCount val="8"/>
                <c:pt idx="0">
                  <c:v>501.43</c:v>
                </c:pt>
                <c:pt idx="1">
                  <c:v>2696.34</c:v>
                </c:pt>
                <c:pt idx="2">
                  <c:v>648.61</c:v>
                </c:pt>
                <c:pt idx="3">
                  <c:v>3775.44</c:v>
                </c:pt>
                <c:pt idx="4">
                  <c:v>3615.17</c:v>
                </c:pt>
                <c:pt idx="5">
                  <c:v>711.62</c:v>
                </c:pt>
                <c:pt idx="6">
                  <c:v>318.8</c:v>
                </c:pt>
                <c:pt idx="7">
                  <c:v>483.56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F-4F36-ABE2-29CE9AB7F346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Card'!$C$8:$J$8</c:f>
              <c:numCache>
                <c:formatCode>0.00%</c:formatCode>
                <c:ptCount val="8"/>
                <c:pt idx="0">
                  <c:v>3.9324851364249153E-2</c:v>
                </c:pt>
                <c:pt idx="1">
                  <c:v>0.21146155939508918</c:v>
                </c:pt>
                <c:pt idx="2">
                  <c:v>5.086750262921174E-2</c:v>
                </c:pt>
                <c:pt idx="3">
                  <c:v>0.29609041508214673</c:v>
                </c:pt>
                <c:pt idx="4">
                  <c:v>0.28352117525176518</c:v>
                </c:pt>
                <c:pt idx="5">
                  <c:v>5.580908746550263E-2</c:v>
                </c:pt>
                <c:pt idx="6">
                  <c:v>2.5002019454206232E-2</c:v>
                </c:pt>
                <c:pt idx="7">
                  <c:v>3.7923389357829247E-2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3F-4F36-ABE2-29CE9AB7F346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Card'!$C$10:$J$10</c:f>
              <c:numCache>
                <c:formatCode>_-"$"* #,##0_-;\-"$"* #,##0_-;_-"$"* "-"??_-;_-@_-</c:formatCode>
                <c:ptCount val="8"/>
                <c:pt idx="0">
                  <c:v>58306.29</c:v>
                </c:pt>
                <c:pt idx="1">
                  <c:v>33089</c:v>
                </c:pt>
                <c:pt idx="2">
                  <c:v>11330</c:v>
                </c:pt>
                <c:pt idx="3">
                  <c:v>59926</c:v>
                </c:pt>
                <c:pt idx="4">
                  <c:v>140277</c:v>
                </c:pt>
                <c:pt idx="5">
                  <c:v>15971</c:v>
                </c:pt>
                <c:pt idx="6">
                  <c:v>37170</c:v>
                </c:pt>
                <c:pt idx="7">
                  <c:v>30719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3F-4F36-ABE2-29CE9AB7F346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Card'!$C$11:$J$11</c:f>
              <c:numCache>
                <c:formatCode>0.00%</c:formatCode>
                <c:ptCount val="8"/>
                <c:pt idx="0">
                  <c:v>0.15074471360030056</c:v>
                </c:pt>
                <c:pt idx="1">
                  <c:v>8.5548091437825061E-2</c:v>
                </c:pt>
                <c:pt idx="2">
                  <c:v>2.9292510380808063E-2</c:v>
                </c:pt>
                <c:pt idx="3">
                  <c:v>0.15493230159579027</c:v>
                </c:pt>
                <c:pt idx="4">
                  <c:v>0.36267126908107788</c:v>
                </c:pt>
                <c:pt idx="5">
                  <c:v>4.1291322444120523E-2</c:v>
                </c:pt>
                <c:pt idx="6">
                  <c:v>9.6099083041009323E-2</c:v>
                </c:pt>
                <c:pt idx="7">
                  <c:v>7.9420708419068217E-2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3F-4F36-ABE2-29CE9AB7F346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Card'!$C$13:$J$13</c:f>
              <c:numCache>
                <c:formatCode>_-"$"* #,##0_-;\-"$"* #,##0_-;_-"$"* "-"??_-;_-@_-</c:formatCode>
                <c:ptCount val="8"/>
                <c:pt idx="0">
                  <c:v>3551.69</c:v>
                </c:pt>
                <c:pt idx="1">
                  <c:v>7933.87</c:v>
                </c:pt>
                <c:pt idx="2">
                  <c:v>1719.42</c:v>
                </c:pt>
                <c:pt idx="3">
                  <c:v>13031</c:v>
                </c:pt>
                <c:pt idx="4">
                  <c:v>17021</c:v>
                </c:pt>
                <c:pt idx="5">
                  <c:v>2180.58</c:v>
                </c:pt>
                <c:pt idx="6">
                  <c:v>4669.1000000000004</c:v>
                </c:pt>
                <c:pt idx="7">
                  <c:v>4630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3F-4F36-ABE2-29CE9AB7F346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Card'!$C$14:$J$14</c:f>
              <c:numCache>
                <c:formatCode>0.00%</c:formatCode>
                <c:ptCount val="8"/>
                <c:pt idx="0">
                  <c:v>6.488686010436151E-2</c:v>
                </c:pt>
                <c:pt idx="1">
                  <c:v>0.14494618414788188</c:v>
                </c:pt>
                <c:pt idx="2">
                  <c:v>3.1412585276485633E-2</c:v>
                </c:pt>
                <c:pt idx="3">
                  <c:v>0.23806713818490205</c:v>
                </c:pt>
                <c:pt idx="4">
                  <c:v>0.3109616114684382</c:v>
                </c:pt>
                <c:pt idx="5">
                  <c:v>3.983765176757223E-2</c:v>
                </c:pt>
                <c:pt idx="6">
                  <c:v>8.5301149174977081E-2</c:v>
                </c:pt>
                <c:pt idx="7">
                  <c:v>8.4586819875381511E-2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3F-4F36-ABE2-29CE9AB7F346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Card'!$C$16:$J$16</c:f>
              <c:numCache>
                <c:formatCode>_-"$"* #,##0_-;\-"$"* #,##0_-;_-"$"* "-"??_-;_-@_-</c:formatCode>
                <c:ptCount val="8"/>
                <c:pt idx="0">
                  <c:v>183.9</c:v>
                </c:pt>
                <c:pt idx="1">
                  <c:v>429.37</c:v>
                </c:pt>
                <c:pt idx="2">
                  <c:v>160.05000000000001</c:v>
                </c:pt>
                <c:pt idx="3">
                  <c:v>548.6</c:v>
                </c:pt>
                <c:pt idx="4">
                  <c:v>1520.96</c:v>
                </c:pt>
                <c:pt idx="5">
                  <c:v>153.30000000000001</c:v>
                </c:pt>
                <c:pt idx="6">
                  <c:v>109.32</c:v>
                </c:pt>
                <c:pt idx="7">
                  <c:v>100.36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3F-4F36-ABE2-29CE9AB7F346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Card'!$C$17:$J$17</c:f>
              <c:numCache>
                <c:formatCode>0.00%</c:formatCode>
                <c:ptCount val="8"/>
                <c:pt idx="0">
                  <c:v>5.7363702719395102E-2</c:v>
                </c:pt>
                <c:pt idx="1">
                  <c:v>0.13393286044930219</c:v>
                </c:pt>
                <c:pt idx="2">
                  <c:v>4.9924201306357725E-2</c:v>
                </c:pt>
                <c:pt idx="3">
                  <c:v>0.17112412893888065</c:v>
                </c:pt>
                <c:pt idx="4">
                  <c:v>0.47443119786890248</c:v>
                </c:pt>
                <c:pt idx="5">
                  <c:v>4.7818682038516962E-2</c:v>
                </c:pt>
                <c:pt idx="6">
                  <c:v>3.4100054275607784E-2</c:v>
                </c:pt>
                <c:pt idx="7">
                  <c:v>3.1305172403036929E-2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3F-4F36-ABE2-29CE9AB7F346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Card'!$C$19:$J$19</c:f>
              <c:numCache>
                <c:formatCode>_-"$"* #,##0_-;\-"$"* #,##0_-;_-"$"* "-"??_-;_-@_-</c:formatCode>
                <c:ptCount val="8"/>
                <c:pt idx="0">
                  <c:v>2674.91</c:v>
                </c:pt>
                <c:pt idx="1">
                  <c:v>7125.88</c:v>
                </c:pt>
                <c:pt idx="2">
                  <c:v>1602</c:v>
                </c:pt>
                <c:pt idx="3">
                  <c:v>8601</c:v>
                </c:pt>
                <c:pt idx="4">
                  <c:v>13801</c:v>
                </c:pt>
                <c:pt idx="5">
                  <c:v>1975</c:v>
                </c:pt>
                <c:pt idx="6">
                  <c:v>2135</c:v>
                </c:pt>
                <c:pt idx="7">
                  <c:v>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3F-4F36-ABE2-29CE9AB7F346}"/>
            </c:ext>
          </c:extLst>
        </c:ser>
        <c:ser>
          <c:idx val="11"/>
          <c:order val="1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Card'!$C$20:$J$20</c:f>
              <c:numCache>
                <c:formatCode>0.00%</c:formatCode>
                <c:ptCount val="8"/>
                <c:pt idx="0">
                  <c:v>6.6475905463360102E-2</c:v>
                </c:pt>
                <c:pt idx="1">
                  <c:v>0.1770898180586444</c:v>
                </c:pt>
                <c:pt idx="2">
                  <c:v>3.9812330340947132E-2</c:v>
                </c:pt>
                <c:pt idx="3">
                  <c:v>0.21374897207396146</c:v>
                </c:pt>
                <c:pt idx="4">
                  <c:v>0.34297751000962007</c:v>
                </c:pt>
                <c:pt idx="5">
                  <c:v>4.9081992773639567E-2</c:v>
                </c:pt>
                <c:pt idx="6">
                  <c:v>5.3058255479352133E-2</c:v>
                </c:pt>
                <c:pt idx="7">
                  <c:v>5.7755215800475115E-2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3F-4F36-ABE2-29CE9AB7F346}"/>
            </c:ext>
          </c:extLst>
        </c:ser>
        <c:ser>
          <c:idx val="12"/>
          <c:order val="1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Card'!$C$22:$J$22</c:f>
              <c:numCache>
                <c:formatCode>_-"$"* #,##0_-;\-"$"* #,##0_-;_-"$"* "-"??_-;_-@_-</c:formatCode>
                <c:ptCount val="8"/>
                <c:pt idx="0">
                  <c:v>1287.78</c:v>
                </c:pt>
                <c:pt idx="1">
                  <c:v>2084.09</c:v>
                </c:pt>
                <c:pt idx="2">
                  <c:v>505.36</c:v>
                </c:pt>
                <c:pt idx="3">
                  <c:v>2954.1</c:v>
                </c:pt>
                <c:pt idx="4">
                  <c:v>5217.2</c:v>
                </c:pt>
                <c:pt idx="5">
                  <c:v>639.89</c:v>
                </c:pt>
                <c:pt idx="6">
                  <c:v>1148.68</c:v>
                </c:pt>
                <c:pt idx="7">
                  <c:v>1210.47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3F-4F36-ABE2-29CE9AB7F346}"/>
            </c:ext>
          </c:extLst>
        </c:ser>
        <c:ser>
          <c:idx val="13"/>
          <c:order val="1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Card'!$C$23:$J$23</c:f>
              <c:numCache>
                <c:formatCode>0.00%</c:formatCode>
                <c:ptCount val="8"/>
                <c:pt idx="0">
                  <c:v>8.5580595405105292E-2</c:v>
                </c:pt>
                <c:pt idx="1">
                  <c:v>0.13850010333894447</c:v>
                </c:pt>
                <c:pt idx="2">
                  <c:v>3.3584160100268684E-2</c:v>
                </c:pt>
                <c:pt idx="3">
                  <c:v>0.1963174120472608</c:v>
                </c:pt>
                <c:pt idx="4">
                  <c:v>0.34671378833924682</c:v>
                </c:pt>
                <c:pt idx="5">
                  <c:v>4.2524474051292005E-2</c:v>
                </c:pt>
                <c:pt idx="6">
                  <c:v>7.6336577932516692E-2</c:v>
                </c:pt>
                <c:pt idx="7">
                  <c:v>8.044288878536536E-2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83F-4F36-ABE2-29CE9AB7F346}"/>
            </c:ext>
          </c:extLst>
        </c:ser>
        <c:ser>
          <c:idx val="14"/>
          <c:order val="1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Card'!$C$25:$J$25</c:f>
              <c:numCache>
                <c:formatCode>_-"$"* #,##0_-;\-"$"* #,##0_-;_-"$"* "-"??_-;_-@_-</c:formatCode>
                <c:ptCount val="8"/>
                <c:pt idx="0">
                  <c:v>3655.3</c:v>
                </c:pt>
                <c:pt idx="1">
                  <c:v>14219.75</c:v>
                </c:pt>
                <c:pt idx="2">
                  <c:v>2749.12</c:v>
                </c:pt>
                <c:pt idx="3">
                  <c:v>20047.8</c:v>
                </c:pt>
                <c:pt idx="4">
                  <c:v>21395</c:v>
                </c:pt>
                <c:pt idx="5">
                  <c:v>4083.48</c:v>
                </c:pt>
                <c:pt idx="6">
                  <c:v>3647.08</c:v>
                </c:pt>
                <c:pt idx="7">
                  <c:v>3835.72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83F-4F36-ABE2-29CE9AB7F346}"/>
            </c:ext>
          </c:extLst>
        </c:ser>
        <c:ser>
          <c:idx val="15"/>
          <c:order val="1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Card'!$C$26:$J$26</c:f>
              <c:numCache>
                <c:formatCode>0.00%</c:formatCode>
                <c:ptCount val="8"/>
                <c:pt idx="0">
                  <c:v>4.9641975602054779E-2</c:v>
                </c:pt>
                <c:pt idx="1">
                  <c:v>0.19311588175179012</c:v>
                </c:pt>
                <c:pt idx="2">
                  <c:v>3.7335307079342551E-2</c:v>
                </c:pt>
                <c:pt idx="3">
                  <c:v>0.27226558653869004</c:v>
                </c:pt>
                <c:pt idx="4">
                  <c:v>0.29056166881130469</c:v>
                </c:pt>
                <c:pt idx="5">
                  <c:v>5.5457011608206888E-2</c:v>
                </c:pt>
                <c:pt idx="6">
                  <c:v>4.9530341252083804E-2</c:v>
                </c:pt>
                <c:pt idx="7">
                  <c:v>5.2092227356527111E-2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83F-4F36-ABE2-29CE9AB7F346}"/>
            </c:ext>
          </c:extLst>
        </c:ser>
        <c:ser>
          <c:idx val="16"/>
          <c:order val="1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Card'!$C$28:$J$28</c:f>
              <c:numCache>
                <c:formatCode>_-"$"* #,##0_-;\-"$"* #,##0_-;_-"$"* "-"??_-;_-@_-</c:formatCode>
                <c:ptCount val="8"/>
                <c:pt idx="0">
                  <c:v>81.290000000000006</c:v>
                </c:pt>
                <c:pt idx="1">
                  <c:v>482.99</c:v>
                </c:pt>
                <c:pt idx="2">
                  <c:v>111.29</c:v>
                </c:pt>
                <c:pt idx="3">
                  <c:v>536.76</c:v>
                </c:pt>
                <c:pt idx="4">
                  <c:v>791.65</c:v>
                </c:pt>
                <c:pt idx="5">
                  <c:v>142.38</c:v>
                </c:pt>
                <c:pt idx="6">
                  <c:v>28.91</c:v>
                </c:pt>
                <c:pt idx="7">
                  <c:v>17.010000000000002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83F-4F36-ABE2-29CE9AB7F346}"/>
            </c:ext>
          </c:extLst>
        </c:ser>
        <c:ser>
          <c:idx val="17"/>
          <c:order val="17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Card'!$C$29:$J$29</c:f>
              <c:numCache>
                <c:formatCode>0.00%</c:formatCode>
                <c:ptCount val="8"/>
                <c:pt idx="0">
                  <c:v>3.7080117503238634E-2</c:v>
                </c:pt>
                <c:pt idx="1">
                  <c:v>0.22031401098399839</c:v>
                </c:pt>
                <c:pt idx="2">
                  <c:v>5.0764500884923458E-2</c:v>
                </c:pt>
                <c:pt idx="3">
                  <c:v>0.2448409874651048</c:v>
                </c:pt>
                <c:pt idx="4">
                  <c:v>0.36110807013702623</c:v>
                </c:pt>
                <c:pt idx="5">
                  <c:v>6.4946083529476159E-2</c:v>
                </c:pt>
                <c:pt idx="6">
                  <c:v>1.3187184118816938E-2</c:v>
                </c:pt>
                <c:pt idx="7">
                  <c:v>7.7590453774152935E-3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83F-4F36-ABE2-29CE9AB7F346}"/>
            </c:ext>
          </c:extLst>
        </c:ser>
        <c:ser>
          <c:idx val="18"/>
          <c:order val="18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Card'!$C$31:$J$31</c:f>
              <c:numCache>
                <c:formatCode>_-"$"* #,##0_-;\-"$"* #,##0_-;_-"$"* "-"??_-;_-@_-</c:formatCode>
                <c:ptCount val="8"/>
                <c:pt idx="0">
                  <c:v>2142.5699999999997</c:v>
                </c:pt>
                <c:pt idx="1">
                  <c:v>0</c:v>
                </c:pt>
                <c:pt idx="2">
                  <c:v>251.15545454545455</c:v>
                </c:pt>
                <c:pt idx="3">
                  <c:v>2986.9818181818187</c:v>
                </c:pt>
                <c:pt idx="4">
                  <c:v>1298.7572727272727</c:v>
                </c:pt>
                <c:pt idx="5">
                  <c:v>622.91454545454542</c:v>
                </c:pt>
                <c:pt idx="6">
                  <c:v>1540.8772727272728</c:v>
                </c:pt>
                <c:pt idx="7">
                  <c:v>1346.8836363636365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83F-4F36-ABE2-29CE9AB7F346}"/>
            </c:ext>
          </c:extLst>
        </c:ser>
        <c:ser>
          <c:idx val="19"/>
          <c:order val="19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Card'!$C$32:$J$32</c:f>
              <c:numCache>
                <c:formatCode>0.00%</c:formatCode>
                <c:ptCount val="8"/>
                <c:pt idx="0">
                  <c:v>0.21025913284802755</c:v>
                </c:pt>
                <c:pt idx="1">
                  <c:v>0</c:v>
                </c:pt>
                <c:pt idx="2">
                  <c:v>2.4646909124453099E-2</c:v>
                </c:pt>
                <c:pt idx="3">
                  <c:v>0.29312470860869611</c:v>
                </c:pt>
                <c:pt idx="4">
                  <c:v>0.12745234832173774</c:v>
                </c:pt>
                <c:pt idx="5">
                  <c:v>6.112914498275248E-2</c:v>
                </c:pt>
                <c:pt idx="6">
                  <c:v>0.15121257143937891</c:v>
                </c:pt>
                <c:pt idx="7">
                  <c:v>0.13217518467495407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83F-4F36-ABE2-29CE9AB7F346}"/>
            </c:ext>
          </c:extLst>
        </c:ser>
        <c:ser>
          <c:idx val="20"/>
          <c:order val="2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Card'!$C$34:$J$34</c:f>
              <c:numCache>
                <c:formatCode>_-"$"* #,##0_-;\-"$"* #,##0_-;_-"$"* "-"??_-;_-@_-</c:formatCode>
                <c:ptCount val="8"/>
                <c:pt idx="0">
                  <c:v>131934.40999999997</c:v>
                </c:pt>
                <c:pt idx="1">
                  <c:v>133087.70000000001</c:v>
                </c:pt>
                <c:pt idx="2">
                  <c:v>35211.755454545455</c:v>
                </c:pt>
                <c:pt idx="3">
                  <c:v>215727.4118181818</c:v>
                </c:pt>
                <c:pt idx="4">
                  <c:v>374267.7372727273</c:v>
                </c:pt>
                <c:pt idx="5">
                  <c:v>47321.164545454551</c:v>
                </c:pt>
                <c:pt idx="6">
                  <c:v>106029.30727272728</c:v>
                </c:pt>
                <c:pt idx="7">
                  <c:v>99615.933636363625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83F-4F36-ABE2-29CE9AB7F346}"/>
            </c:ext>
          </c:extLst>
        </c:ser>
        <c:ser>
          <c:idx val="21"/>
          <c:order val="2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483F-4F36-ABE2-29CE9AB7F3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483F-4F36-ABE2-29CE9AB7F3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483F-4F36-ABE2-29CE9AB7F3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483F-4F36-ABE2-29CE9AB7F3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483F-4F36-ABE2-29CE9AB7F3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483F-4F36-ABE2-29CE9AB7F3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483F-4F36-ABE2-29CE9AB7F34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483F-4F36-ABE2-29CE9AB7F3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Card'!$C$35:$J$35</c:f>
              <c:numCache>
                <c:formatCode>0.00%</c:formatCode>
                <c:ptCount val="8"/>
                <c:pt idx="0">
                  <c:v>0.11540844871474379</c:v>
                </c:pt>
                <c:pt idx="1">
                  <c:v>0.11641727885858746</c:v>
                </c:pt>
                <c:pt idx="2">
                  <c:v>3.080116910768017E-2</c:v>
                </c:pt>
                <c:pt idx="3">
                  <c:v>0.18870562988975395</c:v>
                </c:pt>
                <c:pt idx="4">
                  <c:v>0.32738736590873269</c:v>
                </c:pt>
                <c:pt idx="5">
                  <c:v>4.1393766732773084E-2</c:v>
                </c:pt>
                <c:pt idx="6">
                  <c:v>9.2748191094683782E-2</c:v>
                </c:pt>
                <c:pt idx="7">
                  <c:v>8.7138149693045161E-2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83F-4F36-ABE2-29CE9AB7F3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Incentive Profile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2969091836791144E-2"/>
          <c:y val="0.11688038995125609"/>
          <c:w val="0.96935399784995369"/>
          <c:h val="0.76525618648564253"/>
        </c:manualLayout>
      </c:layout>
      <c:ofPieChart>
        <c:ofPieType val="pie"/>
        <c:varyColors val="1"/>
        <c:ser>
          <c:idx val="10"/>
          <c:order val="10"/>
          <c:tx>
            <c:strRef>
              <c:f>Annualized!$P$40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85-462B-865B-CF0C847C67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85-462B-865B-CF0C847C67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85-462B-865B-CF0C847C67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85-462B-865B-CF0C847C67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85-462B-865B-CF0C847C67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485-462B-865B-CF0C847C6706}"/>
              </c:ext>
            </c:extLst>
          </c:dPt>
          <c:dLbls>
            <c:dLbl>
              <c:idx val="0"/>
              <c:layout>
                <c:manualLayout>
                  <c:x val="-6.2728694936910745E-2"/>
                  <c:y val="-8.21355129899578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85-462B-865B-CF0C847C670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Incentives</a:t>
                    </a:r>
                    <a:r>
                      <a:rPr lang="en-US" baseline="0"/>
                      <a:t>, </a:t>
                    </a:r>
                    <a:fld id="{53F52379-4015-4104-A6B4-29C711A9C39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1485-462B-865B-CF0C847C6706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Annualized!$Q$29:$AA$29</c15:sqref>
                  </c15:fullRef>
                </c:ext>
              </c:extLst>
              <c:f>(Annualized!$U$29:$X$29,Annualized!$Z$29:$AA$29)</c:f>
              <c:strCache>
                <c:ptCount val="6"/>
                <c:pt idx="0">
                  <c:v>Gross GP  (Bips)</c:v>
                </c:pt>
                <c:pt idx="1">
                  <c:v>Pin Disc</c:v>
                </c:pt>
                <c:pt idx="2">
                  <c:v>ADV+ Disc. </c:v>
                </c:pt>
                <c:pt idx="3">
                  <c:v>Saas  Disc. </c:v>
                </c:pt>
                <c:pt idx="4">
                  <c:v>Comm Bips</c:v>
                </c:pt>
                <c:pt idx="5">
                  <c:v>Net GP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Annualized!$Q$40:$AA$40</c15:sqref>
                  </c15:fullRef>
                </c:ext>
              </c:extLst>
              <c:f>(Annualized!$U$40:$X$40,Annualized!$Z$40:$AA$40)</c:f>
              <c:numCache>
                <c:formatCode>_("$"* #,##0.00_);_("$"* \(#,##0.00\);_("$"* "-"??_);_(@_)</c:formatCode>
                <c:ptCount val="6"/>
                <c:pt idx="0" formatCode="_(* #,##0.00_);_(* \(#,##0.00\);_(* &quot;-&quot;??_);_(@_)">
                  <c:v>74.693090655646245</c:v>
                </c:pt>
                <c:pt idx="1" formatCode="_(* #,##0.00_);_(* \(#,##0.00\);_(* &quot;-&quot;??_);_(@_)">
                  <c:v>4.6888169066166396</c:v>
                </c:pt>
                <c:pt idx="2" formatCode="_(* #,##0.00_);_(* \(#,##0.00\);_(* &quot;-&quot;??_);_(@_)">
                  <c:v>2.8856599590580667</c:v>
                </c:pt>
                <c:pt idx="3" formatCode="_(* #,##0.00_);_(* \(#,##0.00\);_(* &quot;-&quot;??_);_(@_)">
                  <c:v>9.9863953634230143</c:v>
                </c:pt>
                <c:pt idx="4" formatCode="_(* #,##0.00_);_(* \(#,##0.00\);_(* &quot;-&quot;??_);_(@_)">
                  <c:v>5.0713238229969138</c:v>
                </c:pt>
                <c:pt idx="5" formatCode="_(* #,##0.00_);_(* \(#,##0.00\);_(* &quot;-&quot;??_);_(@_)">
                  <c:v>52.06089460355161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485-462B-865B-CF0C847C6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plitType val="cust"/>
        <c:custSplit>
          <c:secondPiePt val="1"/>
          <c:secondPiePt val="2"/>
          <c:secondPiePt val="3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Annualized!$P$30</c15:sqref>
                        </c15:formulaRef>
                      </c:ext>
                    </c:extLst>
                    <c:strCache>
                      <c:ptCount val="1"/>
                      <c:pt idx="0">
                        <c:v>Bepoz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1485-462B-865B-CF0C847C670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1485-462B-865B-CF0C847C670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1485-462B-865B-CF0C847C670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1485-462B-865B-CF0C847C670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1485-462B-865B-CF0C847C670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1485-462B-865B-CF0C847C6706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Annualized!$Q$30:$AA$30</c15:sqref>
                        </c15:fullRef>
                        <c15:formulaRef>
                          <c15:sqref>(Annualized!$U$30:$X$30,Annualized!$Z$30:$AA$30)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 formatCode="_(* #,##0.00_);_(* \(#,##0.00\);_(* &quot;-&quot;??_);_(@_)">
                        <c:v>72.951269767093706</c:v>
                      </c:pt>
                      <c:pt idx="1" formatCode="_(* #,##0.00_);_(* \(#,##0.00\);_(* &quot;-&quot;??_);_(@_)">
                        <c:v>4.8493437801101313</c:v>
                      </c:pt>
                      <c:pt idx="2" formatCode="_(* #,##0.00_);_(* \(#,##0.00\);_(* &quot;-&quot;??_);_(@_)">
                        <c:v>2.752582165532981</c:v>
                      </c:pt>
                      <c:pt idx="3" formatCode="_(* #,##0.00_);_(* \(#,##0.00\);_(* &quot;-&quot;??_);_(@_)">
                        <c:v>11.541462685548893</c:v>
                      </c:pt>
                      <c:pt idx="4" formatCode="_(* #,##0.00_);_(* \(#,##0.00\);_(* &quot;-&quot;??_);_(@_)">
                        <c:v>7.4827154052872045</c:v>
                      </c:pt>
                      <c:pt idx="5" formatCode="_(* #,##0.00_);_(* \(#,##0.00\);_(* &quot;-&quot;??_);_(@_)">
                        <c:v>46.325165730614501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1485-462B-865B-CF0C847C670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Annualized!$P$31</c15:sqref>
                        </c15:formulaRef>
                      </c:ext>
                    </c:extLst>
                    <c:strCache>
                      <c:ptCount val="1"/>
                      <c:pt idx="0">
                        <c:v>Deliverit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1485-462B-865B-CF0C847C670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1485-462B-865B-CF0C847C670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1485-462B-865B-CF0C847C670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1485-462B-865B-CF0C847C670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1485-462B-865B-CF0C847C670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6-1485-462B-865B-CF0C847C670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Annualized!$Q$31:$AA$31</c15:sqref>
                        </c15:fullRef>
                        <c15:formulaRef>
                          <c15:sqref>(Annualized!$U$31:$X$31,Annualized!$Z$31:$AA$31)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 formatCode="_(* #,##0.00_);_(* \(#,##0.00\);_(* &quot;-&quot;??_);_(@_)">
                        <c:v>96.654700696464957</c:v>
                      </c:pt>
                      <c:pt idx="1" formatCode="_(* #,##0.00_);_(* \(#,##0.00\);_(* &quot;-&quot;??_);_(@_)">
                        <c:v>5.1757202284091575</c:v>
                      </c:pt>
                      <c:pt idx="2" formatCode="_(* #,##0.00_);_(* \(#,##0.00\);_(* &quot;-&quot;??_);_(@_)">
                        <c:v>0</c:v>
                      </c:pt>
                      <c:pt idx="3" formatCode="_(* #,##0.00_);_(* \(#,##0.00\);_(* &quot;-&quot;??_);_(@_)">
                        <c:v>0</c:v>
                      </c:pt>
                      <c:pt idx="4" formatCode="_(* #,##0.00_);_(* \(#,##0.00\);_(* &quot;-&quot;??_);_(@_)">
                        <c:v>0</c:v>
                      </c:pt>
                      <c:pt idx="5" formatCode="_(* #,##0.00_);_(* \(#,##0.00\);_(* &quot;-&quot;??_);_(@_)">
                        <c:v>91.478980468055795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1485-462B-865B-CF0C847C6706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Annualized!$P$32</c15:sqref>
                        </c15:formulaRef>
                      </c:ext>
                    </c:extLst>
                    <c:strCache>
                      <c:ptCount val="1"/>
                      <c:pt idx="0">
                        <c:v>Ordermate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1485-462B-865B-CF0C847C670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1485-462B-865B-CF0C847C670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1485-462B-865B-CF0C847C670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1485-462B-865B-CF0C847C670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1-1485-462B-865B-CF0C847C670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3-1485-462B-865B-CF0C847C670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Annualized!$Q$32:$AA$32</c15:sqref>
                        </c15:fullRef>
                        <c15:formulaRef>
                          <c15:sqref>(Annualized!$U$32:$X$32,Annualized!$Z$32:$AA$32)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 formatCode="_(* #,##0.00_);_(* \(#,##0.00\);_(* &quot;-&quot;??_);_(@_)">
                        <c:v>74.606276570102494</c:v>
                      </c:pt>
                      <c:pt idx="1" formatCode="_(* #,##0.00_);_(* \(#,##0.00\);_(* &quot;-&quot;??_);_(@_)">
                        <c:v>5.3398361607011715</c:v>
                      </c:pt>
                      <c:pt idx="2" formatCode="_(* #,##0.00_);_(* \(#,##0.00\);_(* &quot;-&quot;??_);_(@_)">
                        <c:v>3.3092582103253045</c:v>
                      </c:pt>
                      <c:pt idx="3" formatCode="_(* #,##0.00_);_(* \(#,##0.00\);_(* &quot;-&quot;??_);_(@_)">
                        <c:v>11.768180141086832</c:v>
                      </c:pt>
                      <c:pt idx="4" formatCode="_(* #,##0.00_);_(* \(#,##0.00\);_(* &quot;-&quot;??_);_(@_)">
                        <c:v>4.6235608704935398</c:v>
                      </c:pt>
                      <c:pt idx="5" formatCode="_(* #,##0.00_);_(* \(#,##0.00\);_(* &quot;-&quot;??_);_(@_)">
                        <c:v>49.565441187495644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1485-462B-865B-CF0C847C6706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Annualized!$P$33</c15:sqref>
                        </c15:formulaRef>
                      </c:ext>
                    </c:extLst>
                    <c:strCache>
                      <c:ptCount val="1"/>
                      <c:pt idx="0">
                        <c:v>SwiftPOS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6-1485-462B-865B-CF0C847C670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8-1485-462B-865B-CF0C847C670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A-1485-462B-865B-CF0C847C670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C-1485-462B-865B-CF0C847C670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E-1485-462B-865B-CF0C847C670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0-1485-462B-865B-CF0C847C670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Annualized!$Q$33:$AA$33</c15:sqref>
                        </c15:fullRef>
                        <c15:formulaRef>
                          <c15:sqref>(Annualized!$U$33:$X$33,Annualized!$Z$33:$AA$33)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 formatCode="_(* #,##0.00_);_(* \(#,##0.00\);_(* &quot;-&quot;??_);_(@_)">
                        <c:v>85.647394089544463</c:v>
                      </c:pt>
                      <c:pt idx="1" formatCode="_(* #,##0.00_);_(* \(#,##0.00\);_(* &quot;-&quot;??_);_(@_)">
                        <c:v>0.79551472711011761</c:v>
                      </c:pt>
                      <c:pt idx="2" formatCode="_(* #,##0.00_);_(* \(#,##0.00\);_(* &quot;-&quot;??_);_(@_)">
                        <c:v>0</c:v>
                      </c:pt>
                      <c:pt idx="3" formatCode="_(* #,##0.00_);_(* \(#,##0.00\);_(* &quot;-&quot;??_);_(@_)">
                        <c:v>0.14798791386902146</c:v>
                      </c:pt>
                      <c:pt idx="4" formatCode="_(* #,##0.00_);_(* \(#,##0.00\);_(* &quot;-&quot;??_);_(@_)">
                        <c:v>0</c:v>
                      </c:pt>
                      <c:pt idx="5" formatCode="_(* #,##0.00_);_(* \(#,##0.00\);_(* &quot;-&quot;??_);_(@_)">
                        <c:v>84.703891448565329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1485-462B-865B-CF0C847C6706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Annualized!$P$34</c15:sqref>
                        </c15:formulaRef>
                      </c:ext>
                    </c:extLst>
                    <c:strCache>
                      <c:ptCount val="1"/>
                      <c:pt idx="0">
                        <c:v>SwiftPOS Reseller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1485-462B-865B-CF0C847C670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1485-462B-865B-CF0C847C670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7-1485-462B-865B-CF0C847C670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9-1485-462B-865B-CF0C847C670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B-1485-462B-865B-CF0C847C670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D-1485-462B-865B-CF0C847C670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Annualized!$Q$34:$AA$34</c15:sqref>
                        </c15:fullRef>
                        <c15:formulaRef>
                          <c15:sqref>(Annualized!$U$34:$X$34,Annualized!$Z$34:$AA$34)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 formatCode="_(* #,##0.00_);_(* \(#,##0.00\);_(* &quot;-&quot;??_);_(@_)">
                        <c:v>77.937067973281813</c:v>
                      </c:pt>
                      <c:pt idx="1" formatCode="_(* #,##0.00_);_(* \(#,##0.00\);_(* &quot;-&quot;??_);_(@_)">
                        <c:v>9.0933981533576436</c:v>
                      </c:pt>
                      <c:pt idx="2" formatCode="_(* #,##0.00_);_(* \(#,##0.00\);_(* &quot;-&quot;??_);_(@_)">
                        <c:v>0</c:v>
                      </c:pt>
                      <c:pt idx="3" formatCode="_(* #,##0.00_);_(* \(#,##0.00\);_(* &quot;-&quot;??_);_(@_)">
                        <c:v>0</c:v>
                      </c:pt>
                      <c:pt idx="4" formatCode="_(* #,##0.00_);_(* \(#,##0.00\);_(* &quot;-&quot;??_);_(@_)">
                        <c:v>0</c:v>
                      </c:pt>
                      <c:pt idx="5" formatCode="_(* #,##0.00_);_(* \(#,##0.00\);_(* &quot;-&quot;??_);_(@_)">
                        <c:v>68.843669819924173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1485-462B-865B-CF0C847C6706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Annualized!$P$35</c15:sqref>
                        </c15:formulaRef>
                      </c:ext>
                    </c:extLst>
                    <c:strCache>
                      <c:ptCount val="1"/>
                      <c:pt idx="0">
                        <c:v>IdealPOS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0-1485-462B-865B-CF0C847C670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2-1485-462B-865B-CF0C847C670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4-1485-462B-865B-CF0C847C670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6-1485-462B-865B-CF0C847C670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8-1485-462B-865B-CF0C847C670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A-1485-462B-865B-CF0C847C670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Annualized!$Q$35:$AA$35</c15:sqref>
                        </c15:fullRef>
                        <c15:formulaRef>
                          <c15:sqref>(Annualized!$U$35:$X$35,Annualized!$Z$35:$AA$35)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 formatCode="_(* #,##0.00_);_(* \(#,##0.00\);_(* &quot;-&quot;??_);_(@_)">
                        <c:v>85.537957055229029</c:v>
                      </c:pt>
                      <c:pt idx="1" formatCode="_(* #,##0.00_);_(* \(#,##0.00\);_(* &quot;-&quot;??_);_(@_)">
                        <c:v>-2.7833481733868872</c:v>
                      </c:pt>
                      <c:pt idx="2" formatCode="_(* #,##0.00_);_(* \(#,##0.00\);_(* &quot;-&quot;??_);_(@_)">
                        <c:v>1.6451199116816886</c:v>
                      </c:pt>
                      <c:pt idx="3" formatCode="_(* #,##0.00_);_(* \(#,##0.00\);_(* &quot;-&quot;??_);_(@_)">
                        <c:v>0</c:v>
                      </c:pt>
                      <c:pt idx="4" formatCode="_(* #,##0.00_);_(* \(#,##0.00\);_(* &quot;-&quot;??_);_(@_)">
                        <c:v>0</c:v>
                      </c:pt>
                      <c:pt idx="5" formatCode="_(* #,##0.00_);_(* \(#,##0.00\);_(* &quot;-&quot;??_);_(@_)">
                        <c:v>86.676185316934223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1485-462B-865B-CF0C847C6706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Annualized!$P$36</c15:sqref>
                        </c15:formulaRef>
                      </c:ext>
                    </c:extLst>
                    <c:strCache>
                      <c:ptCount val="1"/>
                      <c:pt idx="0">
                        <c:v>IdealPOS Reseller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1485-462B-865B-CF0C847C670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1485-462B-865B-CF0C847C670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1-1485-462B-865B-CF0C847C670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3-1485-462B-865B-CF0C847C670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5-1485-462B-865B-CF0C847C670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7-1485-462B-865B-CF0C847C670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Annualized!$Q$36:$AA$36</c15:sqref>
                        </c15:fullRef>
                        <c15:formulaRef>
                          <c15:sqref>(Annualized!$U$36:$X$36,Annualized!$Z$36:$AA$36)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 formatCode="_(* #,##0.00_);_(* \(#,##0.00\);_(* &quot;-&quot;??_);_(@_)">
                        <c:v>83.636592395343499</c:v>
                      </c:pt>
                      <c:pt idx="1" formatCode="_(* #,##0.00_);_(* \(#,##0.00\);_(* &quot;-&quot;??_);_(@_)">
                        <c:v>10.503405712157805</c:v>
                      </c:pt>
                      <c:pt idx="2" formatCode="_(* #,##0.00_);_(* \(#,##0.00\);_(* &quot;-&quot;??_);_(@_)">
                        <c:v>0</c:v>
                      </c:pt>
                      <c:pt idx="3" formatCode="_(* #,##0.00_);_(* \(#,##0.00\);_(* &quot;-&quot;??_);_(@_)">
                        <c:v>0</c:v>
                      </c:pt>
                      <c:pt idx="4" formatCode="_(* #,##0.00_);_(* \(#,##0.00\);_(* &quot;-&quot;??_);_(@_)">
                        <c:v>0</c:v>
                      </c:pt>
                      <c:pt idx="5" formatCode="_(* #,##0.00_);_(* \(#,##0.00\);_(* &quot;-&quot;??_);_(@_)">
                        <c:v>73.133186683185698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1485-462B-865B-CF0C847C6706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Annualized!$P$37</c15:sqref>
                        </c15:formulaRef>
                      </c:ext>
                    </c:extLst>
                    <c:strCache>
                      <c:ptCount val="1"/>
                      <c:pt idx="0">
                        <c:v>Oolio Pay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A-1485-462B-865B-CF0C847C670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C-1485-462B-865B-CF0C847C670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E-1485-462B-865B-CF0C847C670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0-1485-462B-865B-CF0C847C670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2-1485-462B-865B-CF0C847C670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4-1485-462B-865B-CF0C847C670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Annualized!$Q$37:$AA$37</c15:sqref>
                        </c15:fullRef>
                        <c15:formulaRef>
                          <c15:sqref>(Annualized!$U$37:$X$37,Annualized!$Z$37:$AA$37)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 formatCode="_(* #,##0.00_);_(* \(#,##0.00\);_(* &quot;-&quot;??_);_(@_)">
                        <c:v>97.837126219965867</c:v>
                      </c:pt>
                      <c:pt idx="1" formatCode="_(* #,##0.00_);_(* \(#,##0.00\);_(* &quot;-&quot;??_);_(@_)">
                        <c:v>1.3326489070654797</c:v>
                      </c:pt>
                      <c:pt idx="2" formatCode="_(* #,##0.00_);_(* \(#,##0.00\);_(* &quot;-&quot;??_);_(@_)">
                        <c:v>0</c:v>
                      </c:pt>
                      <c:pt idx="3" formatCode="_(* #,##0.00_);_(* \(#,##0.00\);_(* &quot;-&quot;??_);_(@_)">
                        <c:v>1.6301151809640242</c:v>
                      </c:pt>
                      <c:pt idx="4" formatCode="_(* #,##0.00_);_(* \(#,##0.00\);_(* &quot;-&quot;??_);_(@_)">
                        <c:v>0</c:v>
                      </c:pt>
                      <c:pt idx="5" formatCode="_(* #,##0.00_);_(* \(#,##0.00\);_(* &quot;-&quot;??_);_(@_)">
                        <c:v>94.874362131936365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5-1485-462B-865B-CF0C847C6706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Annualized!$P$38</c15:sqref>
                        </c15:formulaRef>
                      </c:ext>
                    </c:extLst>
                    <c:strCache>
                      <c:ptCount val="1"/>
                      <c:pt idx="0">
                        <c:v>Oolio Platform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7-1485-462B-865B-CF0C847C670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9-1485-462B-865B-CF0C847C670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B-1485-462B-865B-CF0C847C670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D-1485-462B-865B-CF0C847C670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F-1485-462B-865B-CF0C847C670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1-1485-462B-865B-CF0C847C670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Annualized!$Q$38:$AA$38</c15:sqref>
                        </c15:fullRef>
                        <c15:formulaRef>
                          <c15:sqref>(Annualized!$U$38:$X$38,Annualized!$Z$38:$AA$38)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 formatCode="_(* #,##0.00_);_(* \(#,##0.00\);_(* &quot;-&quot;??_);_(@_)">
                        <c:v>70.769520899381263</c:v>
                      </c:pt>
                      <c:pt idx="1" formatCode="_(* #,##0.00_);_(* \(#,##0.00\);_(* &quot;-&quot;??_);_(@_)">
                        <c:v>7.2718696728906496</c:v>
                      </c:pt>
                      <c:pt idx="2" formatCode="_(* #,##0.00_);_(* \(#,##0.00\);_(* &quot;-&quot;??_);_(@_)">
                        <c:v>6.8201178170753618</c:v>
                      </c:pt>
                      <c:pt idx="3" formatCode="_(* #,##0.00_);_(* \(#,##0.00\);_(* &quot;-&quot;??_);_(@_)">
                        <c:v>9.6719346012925325</c:v>
                      </c:pt>
                      <c:pt idx="4" formatCode="_(* #,##0.00_);_(* \(#,##0.00\);_(* &quot;-&quot;??_);_(@_)">
                        <c:v>0</c:v>
                      </c:pt>
                      <c:pt idx="5" formatCode="_(* #,##0.00_);_(* \(#,##0.00\);_(* &quot;-&quot;??_);_(@_)">
                        <c:v>47.00559880812272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2-1485-462B-865B-CF0C847C6706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Annualized!$P$39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4-1485-462B-865B-CF0C847C670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6-1485-462B-865B-CF0C847C670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8-1485-462B-865B-CF0C847C670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A-1485-462B-865B-CF0C847C670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C-1485-462B-865B-CF0C847C670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E-1485-462B-865B-CF0C847C670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Annualized!$Q$39:$AA$39</c15:sqref>
                        </c15:fullRef>
                        <c15:formulaRef>
                          <c15:sqref>(Annualized!$U$39:$X$39,Annualized!$Z$39:$AA$39)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 formatCode="_(* #,##0.00_);_(* \(#,##0.00\);_(* &quot;-&quot;??_);_(@_)">
                        <c:v>26.440046340509873</c:v>
                      </c:pt>
                      <c:pt idx="1" formatCode="_(* #,##0.00_);_(* \(#,##0.00\);_(* &quot;-&quot;??_);_(@_)">
                        <c:v>0</c:v>
                      </c:pt>
                      <c:pt idx="2" formatCode="_(* #,##0.00_);_(* \(#,##0.00\);_(* &quot;-&quot;??_);_(@_)">
                        <c:v>0</c:v>
                      </c:pt>
                      <c:pt idx="3" formatCode="_(* #,##0.00_);_(* \(#,##0.00\);_(* &quot;-&quot;??_);_(@_)">
                        <c:v>0</c:v>
                      </c:pt>
                      <c:pt idx="4" formatCode="_(* #,##0.00_);_(* \(#,##0.00\);_(* &quot;-&quot;??_);_(@_)">
                        <c:v>0</c:v>
                      </c:pt>
                      <c:pt idx="5" formatCode="_(* #,##0.00_);_(* \(#,##0.00\);_(* &quot;-&quot;??_);_(@_)">
                        <c:v>26.440046340509873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F-1485-462B-865B-CF0C847C6706}"/>
                  </c:ext>
                </c:extLst>
              </c15:ser>
            </c15:filteredPieSeries>
          </c:ext>
        </c:extLst>
      </c:ofPieChart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95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527777777777777"/>
          <c:y val="0.18314960629921259"/>
          <c:w val="0.7416666666666667"/>
          <c:h val="0.70330635584705048"/>
        </c:manualLayout>
      </c:layout>
      <c:pie3DChart>
        <c:varyColors val="1"/>
        <c:ser>
          <c:idx val="10"/>
          <c:order val="10"/>
          <c:tx>
            <c:strRef>
              <c:f>Annualized!$P$40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113-4EFD-9B53-4ABD7252CF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113-4EFD-9B53-4ABD7252CF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113-4EFD-9B53-4ABD7252CF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113-4EFD-9B53-4ABD7252CFC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Annualized!$Q$29:$AA$29</c15:sqref>
                  </c15:fullRef>
                </c:ext>
              </c:extLst>
              <c:f>(Annualized!$U$29,Annualized!$Y$29:$AA$29)</c:f>
              <c:strCache>
                <c:ptCount val="4"/>
                <c:pt idx="0">
                  <c:v>Gross GP  (Bips)</c:v>
                </c:pt>
                <c:pt idx="1">
                  <c:v>Total Disc.</c:v>
                </c:pt>
                <c:pt idx="2">
                  <c:v>Comm Bips</c:v>
                </c:pt>
                <c:pt idx="3">
                  <c:v>Net GP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Annualized!$Q$40:$AA$40</c15:sqref>
                  </c15:fullRef>
                </c:ext>
              </c:extLst>
              <c:f>(Annualized!$U$40,Annualized!$Y$40:$AA$40)</c:f>
              <c:numCache>
                <c:formatCode>_("$"* #,##0.00_);_("$"* \(#,##0.00\);_("$"* "-"??_);_(@_)</c:formatCode>
                <c:ptCount val="4"/>
                <c:pt idx="0" formatCode="_(* #,##0.00_);_(* \(#,##0.00\);_(* &quot;-&quot;??_);_(@_)">
                  <c:v>74.693090655646245</c:v>
                </c:pt>
                <c:pt idx="1" formatCode="_(* #,##0.00_);_(* \(#,##0.00\);_(* &quot;-&quot;??_);_(@_)">
                  <c:v>17.560872229097718</c:v>
                </c:pt>
                <c:pt idx="2" formatCode="_(* #,##0.00_);_(* \(#,##0.00\);_(* &quot;-&quot;??_);_(@_)">
                  <c:v>5.0713238229969138</c:v>
                </c:pt>
                <c:pt idx="3" formatCode="_(* #,##0.00_);_(* \(#,##0.00\);_(* &quot;-&quot;??_);_(@_)">
                  <c:v>52.06089460355161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A-778A-403E-B4C1-78C30BAE3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Annualized!$P$30</c15:sqref>
                        </c15:formulaRef>
                      </c:ext>
                    </c:extLst>
                    <c:strCache>
                      <c:ptCount val="1"/>
                      <c:pt idx="0">
                        <c:v>Bepoz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778A-403E-B4C1-78C30BAE3E4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778A-403E-B4C1-78C30BAE3E4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4-778A-403E-B4C1-78C30BAE3E4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778A-403E-B4C1-78C30BAE3E46}"/>
                    </c:ext>
                  </c:extLst>
                </c:dPt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C1D38202-4BBC-4ED7-A0D9-060B0A6293E1}" type="CATEGORYNAME">
                            <a:rPr lang="en-US"/>
                            <a:pPr/>
                            <a:t>[CATEGORY NAME]</a:t>
                          </a:fld>
                          <a:r>
                            <a:rPr lang="en-US" baseline="0"/>
                            <a:t>, 74.69</a:t>
                          </a:r>
                        </a:p>
                      </c:rich>
                    </c:tx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F-778A-403E-B4C1-78C30BAE3E46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B3885AC5-5B50-442E-9FD8-A90B06BDDA5C}" type="CATEGORYNAME">
                            <a:rPr lang="en-US"/>
                            <a:pPr/>
                            <a:t>[CATEGORY NAME]</a:t>
                          </a:fld>
                          <a:r>
                            <a:rPr lang="en-US" baseline="0"/>
                            <a:t>, 17.56</a:t>
                          </a:r>
                        </a:p>
                      </c:rich>
                    </c:tx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>
                        <c15:layout>
                          <c:manualLayout>
                            <c:w val="0.17530555555555555"/>
                            <c:h val="0.14378208524398486"/>
                          </c:manualLayout>
                        </c15:layout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3-778A-403E-B4C1-78C30BAE3E46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E86998C9-C1A2-4BC0-9105-3BE6A7D4AB19}" type="CATEGORYNAME">
                            <a:rPr lang="en-US"/>
                            <a:pPr/>
                            <a:t>[CATEGORY NAME]</a:t>
                          </a:fld>
                          <a:r>
                            <a:rPr lang="en-US" baseline="0"/>
                            <a:t>, 5.07</a:t>
                          </a:r>
                        </a:p>
                      </c:rich>
                    </c:tx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4-778A-403E-B4C1-78C30BAE3E46}"/>
                      </c:ext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fld id="{D61412B3-4F3A-4A9B-A85E-3E2B4486160E}" type="CATEGORYNAME">
                            <a:rPr lang="en-US"/>
                            <a:pPr/>
                            <a:t>[CATEGORY NAME]</a:t>
                          </a:fld>
                          <a:r>
                            <a:rPr lang="en-US" baseline="0"/>
                            <a:t>, 52.06</a:t>
                          </a:r>
                        </a:p>
                      </c:rich>
                    </c:tx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5-778A-403E-B4C1-78C30BAE3E46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(Annualized!$U$29,Annualized!$Y$29:$AA$29)</c15:sqref>
                        </c15:formulaRef>
                      </c:ext>
                    </c:extLst>
                    <c:strCache>
                      <c:ptCount val="4"/>
                      <c:pt idx="0">
                        <c:v>Gross GP  (Bips)</c:v>
                      </c:pt>
                      <c:pt idx="1">
                        <c:v>Total Disc.</c:v>
                      </c:pt>
                      <c:pt idx="2">
                        <c:v>Comm Bips</c:v>
                      </c:pt>
                      <c:pt idx="3">
                        <c:v>Net GP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Annualized!$Q$30:$AA$30</c15:sqref>
                        </c15:fullRef>
                        <c15:formulaRef>
                          <c15:sqref>(Annualized!$U$30,Annualized!$Y$30:$AA$30)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"/>
                      <c:pt idx="0" formatCode="_(* #,##0.00_);_(* \(#,##0.00\);_(* &quot;-&quot;??_);_(@_)">
                        <c:v>72.951269767093706</c:v>
                      </c:pt>
                      <c:pt idx="1" formatCode="_(* #,##0.00_);_(* \(#,##0.00\);_(* &quot;-&quot;??_);_(@_)">
                        <c:v>19.143388631192003</c:v>
                      </c:pt>
                      <c:pt idx="2" formatCode="_(* #,##0.00_);_(* \(#,##0.00\);_(* &quot;-&quot;??_);_(@_)">
                        <c:v>7.4827154052872045</c:v>
                      </c:pt>
                      <c:pt idx="3" formatCode="_(* #,##0.00_);_(* \(#,##0.00\);_(* &quot;-&quot;??_);_(@_)">
                        <c:v>46.325165730614501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778A-403E-B4C1-78C30BAE3E4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Annualized!$P$31</c15:sqref>
                        </c15:formulaRef>
                      </c:ext>
                    </c:extLst>
                    <c:strCache>
                      <c:ptCount val="1"/>
                      <c:pt idx="0">
                        <c:v>Deliverit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C113-4EFD-9B53-4ABD7252CFC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C113-4EFD-9B53-4ABD7252CFC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C113-4EFD-9B53-4ABD7252CFC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C113-4EFD-9B53-4ABD7252CFC8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(Annualized!$U$29,Annualized!$Y$29:$AA$29)</c15:sqref>
                        </c15:formulaRef>
                      </c:ext>
                    </c:extLst>
                    <c:strCache>
                      <c:ptCount val="4"/>
                      <c:pt idx="0">
                        <c:v>Gross GP  (Bips)</c:v>
                      </c:pt>
                      <c:pt idx="1">
                        <c:v>Total Disc.</c:v>
                      </c:pt>
                      <c:pt idx="2">
                        <c:v>Comm Bips</c:v>
                      </c:pt>
                      <c:pt idx="3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Annualized!$Q$31:$AA$31</c15:sqref>
                        </c15:fullRef>
                        <c15:formulaRef>
                          <c15:sqref>(Annualized!$U$31,Annualized!$Y$31:$AA$31)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"/>
                      <c:pt idx="0" formatCode="_(* #,##0.00_);_(* \(#,##0.00\);_(* &quot;-&quot;??_);_(@_)">
                        <c:v>96.654700696464957</c:v>
                      </c:pt>
                      <c:pt idx="1" formatCode="_(* #,##0.00_);_(* \(#,##0.00\);_(* &quot;-&quot;??_);_(@_)">
                        <c:v>5.1757202284091575</c:v>
                      </c:pt>
                      <c:pt idx="2" formatCode="_(* #,##0.00_);_(* \(#,##0.00\);_(* &quot;-&quot;??_);_(@_)">
                        <c:v>0</c:v>
                      </c:pt>
                      <c:pt idx="3" formatCode="_(* #,##0.00_);_(* \(#,##0.00\);_(* &quot;-&quot;??_);_(@_)">
                        <c:v>91.478980468055795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778A-403E-B4C1-78C30BAE3E46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Annualized!$P$32</c15:sqref>
                        </c15:formulaRef>
                      </c:ext>
                    </c:extLst>
                    <c:strCache>
                      <c:ptCount val="1"/>
                      <c:pt idx="0">
                        <c:v>Ordermate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9-C113-4EFD-9B53-4ABD7252CFC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B-C113-4EFD-9B53-4ABD7252CFC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D-C113-4EFD-9B53-4ABD7252CFC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F-C113-4EFD-9B53-4ABD7252CFC8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(Annualized!$U$29,Annualized!$Y$29:$AA$29)</c15:sqref>
                        </c15:formulaRef>
                      </c:ext>
                    </c:extLst>
                    <c:strCache>
                      <c:ptCount val="4"/>
                      <c:pt idx="0">
                        <c:v>Gross GP  (Bips)</c:v>
                      </c:pt>
                      <c:pt idx="1">
                        <c:v>Total Disc.</c:v>
                      </c:pt>
                      <c:pt idx="2">
                        <c:v>Comm Bips</c:v>
                      </c:pt>
                      <c:pt idx="3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Annualized!$Q$32:$AA$32</c15:sqref>
                        </c15:fullRef>
                        <c15:formulaRef>
                          <c15:sqref>(Annualized!$U$32,Annualized!$Y$32:$AA$32)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"/>
                      <c:pt idx="0" formatCode="_(* #,##0.00_);_(* \(#,##0.00\);_(* &quot;-&quot;??_);_(@_)">
                        <c:v>74.606276570102494</c:v>
                      </c:pt>
                      <c:pt idx="1" formatCode="_(* #,##0.00_);_(* \(#,##0.00\);_(* &quot;-&quot;??_);_(@_)">
                        <c:v>20.417274512113309</c:v>
                      </c:pt>
                      <c:pt idx="2" formatCode="_(* #,##0.00_);_(* \(#,##0.00\);_(* &quot;-&quot;??_);_(@_)">
                        <c:v>4.6235608704935398</c:v>
                      </c:pt>
                      <c:pt idx="3" formatCode="_(* #,##0.00_);_(* \(#,##0.00\);_(* &quot;-&quot;??_);_(@_)">
                        <c:v>49.565441187495644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778A-403E-B4C1-78C30BAE3E46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Annualized!$P$33</c15:sqref>
                        </c15:formulaRef>
                      </c:ext>
                    </c:extLst>
                    <c:strCache>
                      <c:ptCount val="1"/>
                      <c:pt idx="0">
                        <c:v>SwiftPOS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1-C113-4EFD-9B53-4ABD7252CFC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3-C113-4EFD-9B53-4ABD7252CFC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5-C113-4EFD-9B53-4ABD7252CFC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7-C113-4EFD-9B53-4ABD7252CFC8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(Annualized!$U$29,Annualized!$Y$29:$AA$29)</c15:sqref>
                        </c15:formulaRef>
                      </c:ext>
                    </c:extLst>
                    <c:strCache>
                      <c:ptCount val="4"/>
                      <c:pt idx="0">
                        <c:v>Gross GP  (Bips)</c:v>
                      </c:pt>
                      <c:pt idx="1">
                        <c:v>Total Disc.</c:v>
                      </c:pt>
                      <c:pt idx="2">
                        <c:v>Comm Bips</c:v>
                      </c:pt>
                      <c:pt idx="3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Annualized!$Q$33:$AA$33</c15:sqref>
                        </c15:fullRef>
                        <c15:formulaRef>
                          <c15:sqref>(Annualized!$U$33,Annualized!$Y$33:$AA$33)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"/>
                      <c:pt idx="0" formatCode="_(* #,##0.00_);_(* \(#,##0.00\);_(* &quot;-&quot;??_);_(@_)">
                        <c:v>85.647394089544463</c:v>
                      </c:pt>
                      <c:pt idx="1" formatCode="_(* #,##0.00_);_(* \(#,##0.00\);_(* &quot;-&quot;??_);_(@_)">
                        <c:v>0.94350264097913905</c:v>
                      </c:pt>
                      <c:pt idx="2" formatCode="_(* #,##0.00_);_(* \(#,##0.00\);_(* &quot;-&quot;??_);_(@_)">
                        <c:v>0</c:v>
                      </c:pt>
                      <c:pt idx="3" formatCode="_(* #,##0.00_);_(* \(#,##0.00\);_(* &quot;-&quot;??_);_(@_)">
                        <c:v>84.703891448565329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778A-403E-B4C1-78C30BAE3E46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Annualized!$P$34</c15:sqref>
                        </c15:formulaRef>
                      </c:ext>
                    </c:extLst>
                    <c:strCache>
                      <c:ptCount val="1"/>
                      <c:pt idx="0">
                        <c:v>SwiftPOS Reseller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9-C113-4EFD-9B53-4ABD7252CFC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B-C113-4EFD-9B53-4ABD7252CFC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D-C113-4EFD-9B53-4ABD7252CFC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F-C113-4EFD-9B53-4ABD7252CFC8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(Annualized!$U$29,Annualized!$Y$29:$AA$29)</c15:sqref>
                        </c15:formulaRef>
                      </c:ext>
                    </c:extLst>
                    <c:strCache>
                      <c:ptCount val="4"/>
                      <c:pt idx="0">
                        <c:v>Gross GP  (Bips)</c:v>
                      </c:pt>
                      <c:pt idx="1">
                        <c:v>Total Disc.</c:v>
                      </c:pt>
                      <c:pt idx="2">
                        <c:v>Comm Bips</c:v>
                      </c:pt>
                      <c:pt idx="3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Annualized!$Q$34:$AA$34</c15:sqref>
                        </c15:fullRef>
                        <c15:formulaRef>
                          <c15:sqref>(Annualized!$U$34,Annualized!$Y$34:$AA$34)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"/>
                      <c:pt idx="0" formatCode="_(* #,##0.00_);_(* \(#,##0.00\);_(* &quot;-&quot;??_);_(@_)">
                        <c:v>77.937067973281813</c:v>
                      </c:pt>
                      <c:pt idx="1" formatCode="_(* #,##0.00_);_(* \(#,##0.00\);_(* &quot;-&quot;??_);_(@_)">
                        <c:v>9.0933981533576436</c:v>
                      </c:pt>
                      <c:pt idx="2" formatCode="_(* #,##0.00_);_(* \(#,##0.00\);_(* &quot;-&quot;??_);_(@_)">
                        <c:v>0</c:v>
                      </c:pt>
                      <c:pt idx="3" formatCode="_(* #,##0.00_);_(* \(#,##0.00\);_(* &quot;-&quot;??_);_(@_)">
                        <c:v>68.843669819924173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778A-403E-B4C1-78C30BAE3E46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Annualized!$P$35</c15:sqref>
                        </c15:formulaRef>
                      </c:ext>
                    </c:extLst>
                    <c:strCache>
                      <c:ptCount val="1"/>
                      <c:pt idx="0">
                        <c:v>IdealPOS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1-C113-4EFD-9B53-4ABD7252CFC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3-C113-4EFD-9B53-4ABD7252CFC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5-C113-4EFD-9B53-4ABD7252CFC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7-C113-4EFD-9B53-4ABD7252CFC8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(Annualized!$U$29,Annualized!$Y$29:$AA$29)</c15:sqref>
                        </c15:formulaRef>
                      </c:ext>
                    </c:extLst>
                    <c:strCache>
                      <c:ptCount val="4"/>
                      <c:pt idx="0">
                        <c:v>Gross GP  (Bips)</c:v>
                      </c:pt>
                      <c:pt idx="1">
                        <c:v>Total Disc.</c:v>
                      </c:pt>
                      <c:pt idx="2">
                        <c:v>Comm Bips</c:v>
                      </c:pt>
                      <c:pt idx="3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Annualized!$Q$35:$AA$35</c15:sqref>
                        </c15:fullRef>
                        <c15:formulaRef>
                          <c15:sqref>(Annualized!$U$35,Annualized!$Y$35:$AA$35)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"/>
                      <c:pt idx="0" formatCode="_(* #,##0.00_);_(* \(#,##0.00\);_(* &quot;-&quot;??_);_(@_)">
                        <c:v>85.537957055229029</c:v>
                      </c:pt>
                      <c:pt idx="1" formatCode="_(* #,##0.00_);_(* \(#,##0.00\);_(* &quot;-&quot;??_);_(@_)">
                        <c:v>-1.1382282617051986</c:v>
                      </c:pt>
                      <c:pt idx="2" formatCode="_(* #,##0.00_);_(* \(#,##0.00\);_(* &quot;-&quot;??_);_(@_)">
                        <c:v>0</c:v>
                      </c:pt>
                      <c:pt idx="3" formatCode="_(* #,##0.00_);_(* \(#,##0.00\);_(* &quot;-&quot;??_);_(@_)">
                        <c:v>86.676185316934223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5-778A-403E-B4C1-78C30BAE3E46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Annualized!$P$36</c15:sqref>
                        </c15:formulaRef>
                      </c:ext>
                    </c:extLst>
                    <c:strCache>
                      <c:ptCount val="1"/>
                      <c:pt idx="0">
                        <c:v>IdealPOS Reseller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9-C113-4EFD-9B53-4ABD7252CFC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B-C113-4EFD-9B53-4ABD7252CFC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D-C113-4EFD-9B53-4ABD7252CFC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F-C113-4EFD-9B53-4ABD7252CFC8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(Annualized!$U$29,Annualized!$Y$29:$AA$29)</c15:sqref>
                        </c15:formulaRef>
                      </c:ext>
                    </c:extLst>
                    <c:strCache>
                      <c:ptCount val="4"/>
                      <c:pt idx="0">
                        <c:v>Gross GP  (Bips)</c:v>
                      </c:pt>
                      <c:pt idx="1">
                        <c:v>Total Disc.</c:v>
                      </c:pt>
                      <c:pt idx="2">
                        <c:v>Comm Bips</c:v>
                      </c:pt>
                      <c:pt idx="3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Annualized!$Q$36:$AA$36</c15:sqref>
                        </c15:fullRef>
                        <c15:formulaRef>
                          <c15:sqref>(Annualized!$U$36,Annualized!$Y$36:$AA$36)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"/>
                      <c:pt idx="0" formatCode="_(* #,##0.00_);_(* \(#,##0.00\);_(* &quot;-&quot;??_);_(@_)">
                        <c:v>83.636592395343499</c:v>
                      </c:pt>
                      <c:pt idx="1" formatCode="_(* #,##0.00_);_(* \(#,##0.00\);_(* &quot;-&quot;??_);_(@_)">
                        <c:v>10.503405712157805</c:v>
                      </c:pt>
                      <c:pt idx="2" formatCode="_(* #,##0.00_);_(* \(#,##0.00\);_(* &quot;-&quot;??_);_(@_)">
                        <c:v>0</c:v>
                      </c:pt>
                      <c:pt idx="3" formatCode="_(* #,##0.00_);_(* \(#,##0.00\);_(* &quot;-&quot;??_);_(@_)">
                        <c:v>73.133186683185698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6-778A-403E-B4C1-78C30BAE3E46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Annualized!$P$37</c15:sqref>
                        </c15:formulaRef>
                      </c:ext>
                    </c:extLst>
                    <c:strCache>
                      <c:ptCount val="1"/>
                      <c:pt idx="0">
                        <c:v>Oolio Pay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1-C113-4EFD-9B53-4ABD7252CFC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3-C113-4EFD-9B53-4ABD7252CFC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5-C113-4EFD-9B53-4ABD7252CFC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7-C113-4EFD-9B53-4ABD7252CFC8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(Annualized!$U$29,Annualized!$Y$29:$AA$29)</c15:sqref>
                        </c15:formulaRef>
                      </c:ext>
                    </c:extLst>
                    <c:strCache>
                      <c:ptCount val="4"/>
                      <c:pt idx="0">
                        <c:v>Gross GP  (Bips)</c:v>
                      </c:pt>
                      <c:pt idx="1">
                        <c:v>Total Disc.</c:v>
                      </c:pt>
                      <c:pt idx="2">
                        <c:v>Comm Bips</c:v>
                      </c:pt>
                      <c:pt idx="3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Annualized!$Q$37:$AA$37</c15:sqref>
                        </c15:fullRef>
                        <c15:formulaRef>
                          <c15:sqref>(Annualized!$U$37,Annualized!$Y$37:$AA$37)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"/>
                      <c:pt idx="0" formatCode="_(* #,##0.00_);_(* \(#,##0.00\);_(* &quot;-&quot;??_);_(@_)">
                        <c:v>97.837126219965867</c:v>
                      </c:pt>
                      <c:pt idx="1" formatCode="_(* #,##0.00_);_(* \(#,##0.00\);_(* &quot;-&quot;??_);_(@_)">
                        <c:v>2.9627640880295036</c:v>
                      </c:pt>
                      <c:pt idx="2" formatCode="_(* #,##0.00_);_(* \(#,##0.00\);_(* &quot;-&quot;??_);_(@_)">
                        <c:v>0</c:v>
                      </c:pt>
                      <c:pt idx="3" formatCode="_(* #,##0.00_);_(* \(#,##0.00\);_(* &quot;-&quot;??_);_(@_)">
                        <c:v>94.874362131936365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778A-403E-B4C1-78C30BAE3E46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Annualized!$P$38</c15:sqref>
                        </c15:formulaRef>
                      </c:ext>
                    </c:extLst>
                    <c:strCache>
                      <c:ptCount val="1"/>
                      <c:pt idx="0">
                        <c:v>Oolio Platform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9-C113-4EFD-9B53-4ABD7252CFC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B-C113-4EFD-9B53-4ABD7252CFC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D-C113-4EFD-9B53-4ABD7252CFC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F-C113-4EFD-9B53-4ABD7252CFC8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(Annualized!$U$29,Annualized!$Y$29:$AA$29)</c15:sqref>
                        </c15:formulaRef>
                      </c:ext>
                    </c:extLst>
                    <c:strCache>
                      <c:ptCount val="4"/>
                      <c:pt idx="0">
                        <c:v>Gross GP  (Bips)</c:v>
                      </c:pt>
                      <c:pt idx="1">
                        <c:v>Total Disc.</c:v>
                      </c:pt>
                      <c:pt idx="2">
                        <c:v>Comm Bips</c:v>
                      </c:pt>
                      <c:pt idx="3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Annualized!$Q$38:$AA$38</c15:sqref>
                        </c15:fullRef>
                        <c15:formulaRef>
                          <c15:sqref>(Annualized!$U$38,Annualized!$Y$38:$AA$38)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"/>
                      <c:pt idx="0" formatCode="_(* #,##0.00_);_(* \(#,##0.00\);_(* &quot;-&quot;??_);_(@_)">
                        <c:v>70.769520899381263</c:v>
                      </c:pt>
                      <c:pt idx="1" formatCode="_(* #,##0.00_);_(* \(#,##0.00\);_(* &quot;-&quot;??_);_(@_)">
                        <c:v>23.763922091258543</c:v>
                      </c:pt>
                      <c:pt idx="2" formatCode="_(* #,##0.00_);_(* \(#,##0.00\);_(* &quot;-&quot;??_);_(@_)">
                        <c:v>0</c:v>
                      </c:pt>
                      <c:pt idx="3" formatCode="_(* #,##0.00_);_(* \(#,##0.00\);_(* &quot;-&quot;??_);_(@_)">
                        <c:v>47.00559880812272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8-778A-403E-B4C1-78C30BAE3E46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Annualized!$P$39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51-C113-4EFD-9B53-4ABD7252CFC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53-C113-4EFD-9B53-4ABD7252CFC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55-C113-4EFD-9B53-4ABD7252CFC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57-C113-4EFD-9B53-4ABD7252CFC8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(Annualized!$U$29,Annualized!$Y$29:$AA$29)</c15:sqref>
                        </c15:formulaRef>
                      </c:ext>
                    </c:extLst>
                    <c:strCache>
                      <c:ptCount val="4"/>
                      <c:pt idx="0">
                        <c:v>Gross GP  (Bips)</c:v>
                      </c:pt>
                      <c:pt idx="1">
                        <c:v>Total Disc.</c:v>
                      </c:pt>
                      <c:pt idx="2">
                        <c:v>Comm Bips</c:v>
                      </c:pt>
                      <c:pt idx="3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Annualized!$Q$39:$AA$39</c15:sqref>
                        </c15:fullRef>
                        <c15:formulaRef>
                          <c15:sqref>(Annualized!$U$39,Annualized!$Y$39:$AA$39)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"/>
                      <c:pt idx="0" formatCode="_(* #,##0.00_);_(* \(#,##0.00\);_(* &quot;-&quot;??_);_(@_)">
                        <c:v>26.440046340509873</c:v>
                      </c:pt>
                      <c:pt idx="1" formatCode="_(* #,##0.00_);_(* \(#,##0.00\);_(* &quot;-&quot;??_);_(@_)">
                        <c:v>0</c:v>
                      </c:pt>
                      <c:pt idx="2" formatCode="_(* #,##0.00_);_(* \(#,##0.00\);_(* &quot;-&quot;??_);_(@_)">
                        <c:v>0</c:v>
                      </c:pt>
                      <c:pt idx="3" formatCode="_(* #,##0.00_);_(* \(#,##0.00\);_(* &quot;-&quot;??_);_(@_)">
                        <c:v>26.440046340509873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9-778A-403E-B4C1-78C30BAE3E46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Incentive Profile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"/>
          <c:y val="0.12016438485157274"/>
          <c:w val="0.96935399784995369"/>
          <c:h val="0.76525618648564253"/>
        </c:manualLayout>
      </c:layout>
      <c:ofPieChart>
        <c:ofPieType val="pie"/>
        <c:varyColors val="1"/>
        <c:ser>
          <c:idx val="10"/>
          <c:order val="10"/>
          <c:tx>
            <c:strRef>
              <c:f>Annualized!$P$40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7E8-42A4-9050-0A6BC45C75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BF-4A7A-BF72-124112C633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BF-4A7A-BF72-124112C633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BF-4A7A-BF72-124112C633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A7E8-42A4-9050-0A6BC45C75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7E8-42A4-9050-0A6BC45C757A}"/>
              </c:ext>
            </c:extLst>
          </c:dPt>
          <c:dLbls>
            <c:dLbl>
              <c:idx val="0"/>
              <c:layout>
                <c:manualLayout>
                  <c:x val="-6.2728694936910745E-2"/>
                  <c:y val="-8.21355129899578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7E8-42A4-9050-0A6BC45C757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Incentives</a:t>
                    </a:r>
                    <a:r>
                      <a:rPr lang="en-US" baseline="0"/>
                      <a:t>, </a:t>
                    </a:r>
                    <a:fld id="{53F52379-4015-4104-A6B4-29C711A9C39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A7E8-42A4-9050-0A6BC45C757A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Annualized!$Q$29:$AA$29</c15:sqref>
                  </c15:fullRef>
                </c:ext>
              </c:extLst>
              <c:f>(Annualized!$U$29:$X$29,Annualized!$Z$29:$AA$29)</c:f>
              <c:strCache>
                <c:ptCount val="6"/>
                <c:pt idx="0">
                  <c:v>Gross GP  (Bips)</c:v>
                </c:pt>
                <c:pt idx="1">
                  <c:v>Pin Disc</c:v>
                </c:pt>
                <c:pt idx="2">
                  <c:v>ADV+ Disc. </c:v>
                </c:pt>
                <c:pt idx="3">
                  <c:v>Saas  Disc. </c:v>
                </c:pt>
                <c:pt idx="4">
                  <c:v>Comm Bips</c:v>
                </c:pt>
                <c:pt idx="5">
                  <c:v>Net GP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Annualized!$Q$40:$AA$40</c15:sqref>
                  </c15:fullRef>
                </c:ext>
              </c:extLst>
              <c:f>(Annualized!$U$40:$X$40,Annualized!$Z$40:$AA$40)</c:f>
              <c:numCache>
                <c:formatCode>_("$"* #,##0.00_);_("$"* \(#,##0.00\);_("$"* "-"??_);_(@_)</c:formatCode>
                <c:ptCount val="6"/>
                <c:pt idx="0" formatCode="_(* #,##0.00_);_(* \(#,##0.00\);_(* &quot;-&quot;??_);_(@_)">
                  <c:v>74.693090655646245</c:v>
                </c:pt>
                <c:pt idx="1" formatCode="_(* #,##0.00_);_(* \(#,##0.00\);_(* &quot;-&quot;??_);_(@_)">
                  <c:v>4.6888169066166396</c:v>
                </c:pt>
                <c:pt idx="2" formatCode="_(* #,##0.00_);_(* \(#,##0.00\);_(* &quot;-&quot;??_);_(@_)">
                  <c:v>2.8856599590580667</c:v>
                </c:pt>
                <c:pt idx="3" formatCode="_(* #,##0.00_);_(* \(#,##0.00\);_(* &quot;-&quot;??_);_(@_)">
                  <c:v>9.9863953634230143</c:v>
                </c:pt>
                <c:pt idx="4" formatCode="_(* #,##0.00_);_(* \(#,##0.00\);_(* &quot;-&quot;??_);_(@_)">
                  <c:v>5.0713238229969138</c:v>
                </c:pt>
                <c:pt idx="5" formatCode="_(* #,##0.00_);_(* \(#,##0.00\);_(* &quot;-&quot;??_);_(@_)">
                  <c:v>52.06089460355161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E8-42A4-9050-0A6BC45C7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plitType val="cust"/>
        <c:custSplit>
          <c:secondPiePt val="1"/>
          <c:secondPiePt val="2"/>
          <c:secondPiePt val="3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Annualized!$P$30</c15:sqref>
                        </c15:formulaRef>
                      </c:ext>
                    </c:extLst>
                    <c:strCache>
                      <c:ptCount val="1"/>
                      <c:pt idx="0">
                        <c:v>Bepoz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ADBF-4A7A-BF72-124112C6338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ADBF-4A7A-BF72-124112C6338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ADBF-4A7A-BF72-124112C6338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ADBF-4A7A-BF72-124112C6338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ADBF-4A7A-BF72-124112C6338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ADBF-4A7A-BF72-124112C63386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Annualized!$Q$30:$AA$30</c15:sqref>
                        </c15:fullRef>
                        <c15:formulaRef>
                          <c15:sqref>(Annualized!$U$30:$X$30,Annualized!$Z$30:$AA$30)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 formatCode="_(* #,##0.00_);_(* \(#,##0.00\);_(* &quot;-&quot;??_);_(@_)">
                        <c:v>72.951269767093706</c:v>
                      </c:pt>
                      <c:pt idx="1" formatCode="_(* #,##0.00_);_(* \(#,##0.00\);_(* &quot;-&quot;??_);_(@_)">
                        <c:v>4.8493437801101313</c:v>
                      </c:pt>
                      <c:pt idx="2" formatCode="_(* #,##0.00_);_(* \(#,##0.00\);_(* &quot;-&quot;??_);_(@_)">
                        <c:v>2.752582165532981</c:v>
                      </c:pt>
                      <c:pt idx="3" formatCode="_(* #,##0.00_);_(* \(#,##0.00\);_(* &quot;-&quot;??_);_(@_)">
                        <c:v>11.541462685548893</c:v>
                      </c:pt>
                      <c:pt idx="4" formatCode="_(* #,##0.00_);_(* \(#,##0.00\);_(* &quot;-&quot;??_);_(@_)">
                        <c:v>7.4827154052872045</c:v>
                      </c:pt>
                      <c:pt idx="5" formatCode="_(* #,##0.00_);_(* \(#,##0.00\);_(* &quot;-&quot;??_);_(@_)">
                        <c:v>46.325165730614501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7E8-42A4-9050-0A6BC45C757A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Annualized!$P$31</c15:sqref>
                        </c15:formulaRef>
                      </c:ext>
                    </c:extLst>
                    <c:strCache>
                      <c:ptCount val="1"/>
                      <c:pt idx="0">
                        <c:v>Deliverit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ADBF-4A7A-BF72-124112C6338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ADBF-4A7A-BF72-124112C6338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ADBF-4A7A-BF72-124112C6338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ADBF-4A7A-BF72-124112C6338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ADBF-4A7A-BF72-124112C6338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ADBF-4A7A-BF72-124112C6338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Annualized!$Q$31:$AA$31</c15:sqref>
                        </c15:fullRef>
                        <c15:formulaRef>
                          <c15:sqref>(Annualized!$U$31:$X$31,Annualized!$Z$31:$AA$31)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 formatCode="_(* #,##0.00_);_(* \(#,##0.00\);_(* &quot;-&quot;??_);_(@_)">
                        <c:v>96.654700696464957</c:v>
                      </c:pt>
                      <c:pt idx="1" formatCode="_(* #,##0.00_);_(* \(#,##0.00\);_(* &quot;-&quot;??_);_(@_)">
                        <c:v>5.1757202284091575</c:v>
                      </c:pt>
                      <c:pt idx="2" formatCode="_(* #,##0.00_);_(* \(#,##0.00\);_(* &quot;-&quot;??_);_(@_)">
                        <c:v>0</c:v>
                      </c:pt>
                      <c:pt idx="3" formatCode="_(* #,##0.00_);_(* \(#,##0.00\);_(* &quot;-&quot;??_);_(@_)">
                        <c:v>0</c:v>
                      </c:pt>
                      <c:pt idx="4" formatCode="_(* #,##0.00_);_(* \(#,##0.00\);_(* &quot;-&quot;??_);_(@_)">
                        <c:v>0</c:v>
                      </c:pt>
                      <c:pt idx="5" formatCode="_(* #,##0.00_);_(* \(#,##0.00\);_(* &quot;-&quot;??_);_(@_)">
                        <c:v>91.478980468055795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8-42A4-9050-0A6BC45C757A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Annualized!$P$32</c15:sqref>
                        </c15:formulaRef>
                      </c:ext>
                    </c:extLst>
                    <c:strCache>
                      <c:ptCount val="1"/>
                      <c:pt idx="0">
                        <c:v>Ordermate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ADBF-4A7A-BF72-124112C6338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ADBF-4A7A-BF72-124112C6338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ADBF-4A7A-BF72-124112C6338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ADBF-4A7A-BF72-124112C6338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ADBF-4A7A-BF72-124112C6338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ADBF-4A7A-BF72-124112C6338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Annualized!$Q$32:$AA$32</c15:sqref>
                        </c15:fullRef>
                        <c15:formulaRef>
                          <c15:sqref>(Annualized!$U$32:$X$32,Annualized!$Z$32:$AA$32)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 formatCode="_(* #,##0.00_);_(* \(#,##0.00\);_(* &quot;-&quot;??_);_(@_)">
                        <c:v>74.606276570102494</c:v>
                      </c:pt>
                      <c:pt idx="1" formatCode="_(* #,##0.00_);_(* \(#,##0.00\);_(* &quot;-&quot;??_);_(@_)">
                        <c:v>5.3398361607011715</c:v>
                      </c:pt>
                      <c:pt idx="2" formatCode="_(* #,##0.00_);_(* \(#,##0.00\);_(* &quot;-&quot;??_);_(@_)">
                        <c:v>3.3092582103253045</c:v>
                      </c:pt>
                      <c:pt idx="3" formatCode="_(* #,##0.00_);_(* \(#,##0.00\);_(* &quot;-&quot;??_);_(@_)">
                        <c:v>11.768180141086832</c:v>
                      </c:pt>
                      <c:pt idx="4" formatCode="_(* #,##0.00_);_(* \(#,##0.00\);_(* &quot;-&quot;??_);_(@_)">
                        <c:v>4.6235608704935398</c:v>
                      </c:pt>
                      <c:pt idx="5" formatCode="_(* #,##0.00_);_(* \(#,##0.00\);_(* &quot;-&quot;??_);_(@_)">
                        <c:v>49.565441187495644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8-42A4-9050-0A6BC45C757A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Annualized!$P$33</c15:sqref>
                        </c15:formulaRef>
                      </c:ext>
                    </c:extLst>
                    <c:strCache>
                      <c:ptCount val="1"/>
                      <c:pt idx="0">
                        <c:v>SwiftPOS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ADBF-4A7A-BF72-124112C6338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ADBF-4A7A-BF72-124112C6338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ADBF-4A7A-BF72-124112C6338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7-ADBF-4A7A-BF72-124112C6338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9-ADBF-4A7A-BF72-124112C6338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B-ADBF-4A7A-BF72-124112C6338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Annualized!$Q$33:$AA$33</c15:sqref>
                        </c15:fullRef>
                        <c15:formulaRef>
                          <c15:sqref>(Annualized!$U$33:$X$33,Annualized!$Z$33:$AA$33)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 formatCode="_(* #,##0.00_);_(* \(#,##0.00\);_(* &quot;-&quot;??_);_(@_)">
                        <c:v>85.647394089544463</c:v>
                      </c:pt>
                      <c:pt idx="1" formatCode="_(* #,##0.00_);_(* \(#,##0.00\);_(* &quot;-&quot;??_);_(@_)">
                        <c:v>0.79551472711011761</c:v>
                      </c:pt>
                      <c:pt idx="2" formatCode="_(* #,##0.00_);_(* \(#,##0.00\);_(* &quot;-&quot;??_);_(@_)">
                        <c:v>0</c:v>
                      </c:pt>
                      <c:pt idx="3" formatCode="_(* #,##0.00_);_(* \(#,##0.00\);_(* &quot;-&quot;??_);_(@_)">
                        <c:v>0.14798791386902146</c:v>
                      </c:pt>
                      <c:pt idx="4" formatCode="_(* #,##0.00_);_(* \(#,##0.00\);_(* &quot;-&quot;??_);_(@_)">
                        <c:v>0</c:v>
                      </c:pt>
                      <c:pt idx="5" formatCode="_(* #,##0.00_);_(* \(#,##0.00\);_(* &quot;-&quot;??_);_(@_)">
                        <c:v>84.703891448565329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8-42A4-9050-0A6BC45C757A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Annualized!$P$34</c15:sqref>
                        </c15:formulaRef>
                      </c:ext>
                    </c:extLst>
                    <c:strCache>
                      <c:ptCount val="1"/>
                      <c:pt idx="0">
                        <c:v>SwiftPOS Reseller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ADBF-4A7A-BF72-124112C6338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ADBF-4A7A-BF72-124112C6338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1-ADBF-4A7A-BF72-124112C6338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3-ADBF-4A7A-BF72-124112C6338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5-ADBF-4A7A-BF72-124112C6338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7-ADBF-4A7A-BF72-124112C6338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Annualized!$Q$34:$AA$34</c15:sqref>
                        </c15:fullRef>
                        <c15:formulaRef>
                          <c15:sqref>(Annualized!$U$34:$X$34,Annualized!$Z$34:$AA$34)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 formatCode="_(* #,##0.00_);_(* \(#,##0.00\);_(* &quot;-&quot;??_);_(@_)">
                        <c:v>77.937067973281813</c:v>
                      </c:pt>
                      <c:pt idx="1" formatCode="_(* #,##0.00_);_(* \(#,##0.00\);_(* &quot;-&quot;??_);_(@_)">
                        <c:v>9.0933981533576436</c:v>
                      </c:pt>
                      <c:pt idx="2" formatCode="_(* #,##0.00_);_(* \(#,##0.00\);_(* &quot;-&quot;??_);_(@_)">
                        <c:v>0</c:v>
                      </c:pt>
                      <c:pt idx="3" formatCode="_(* #,##0.00_);_(* \(#,##0.00\);_(* &quot;-&quot;??_);_(@_)">
                        <c:v>0</c:v>
                      </c:pt>
                      <c:pt idx="4" formatCode="_(* #,##0.00_);_(* \(#,##0.00\);_(* &quot;-&quot;??_);_(@_)">
                        <c:v>0</c:v>
                      </c:pt>
                      <c:pt idx="5" formatCode="_(* #,##0.00_);_(* \(#,##0.00\);_(* &quot;-&quot;??_);_(@_)">
                        <c:v>68.843669819924173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8-42A4-9050-0A6BC45C757A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Annualized!$P$35</c15:sqref>
                        </c15:formulaRef>
                      </c:ext>
                    </c:extLst>
                    <c:strCache>
                      <c:ptCount val="1"/>
                      <c:pt idx="0">
                        <c:v>IdealPOS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ADBF-4A7A-BF72-124112C6338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ADBF-4A7A-BF72-124112C6338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D-ADBF-4A7A-BF72-124112C6338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F-ADBF-4A7A-BF72-124112C6338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1-ADBF-4A7A-BF72-124112C6338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3-ADBF-4A7A-BF72-124112C6338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Annualized!$Q$35:$AA$35</c15:sqref>
                        </c15:fullRef>
                        <c15:formulaRef>
                          <c15:sqref>(Annualized!$U$35:$X$35,Annualized!$Z$35:$AA$35)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 formatCode="_(* #,##0.00_);_(* \(#,##0.00\);_(* &quot;-&quot;??_);_(@_)">
                        <c:v>85.537957055229029</c:v>
                      </c:pt>
                      <c:pt idx="1" formatCode="_(* #,##0.00_);_(* \(#,##0.00\);_(* &quot;-&quot;??_);_(@_)">
                        <c:v>-2.7833481733868872</c:v>
                      </c:pt>
                      <c:pt idx="2" formatCode="_(* #,##0.00_);_(* \(#,##0.00\);_(* &quot;-&quot;??_);_(@_)">
                        <c:v>1.6451199116816886</c:v>
                      </c:pt>
                      <c:pt idx="3" formatCode="_(* #,##0.00_);_(* \(#,##0.00\);_(* &quot;-&quot;??_);_(@_)">
                        <c:v>0</c:v>
                      </c:pt>
                      <c:pt idx="4" formatCode="_(* #,##0.00_);_(* \(#,##0.00\);_(* &quot;-&quot;??_);_(@_)">
                        <c:v>0</c:v>
                      </c:pt>
                      <c:pt idx="5" formatCode="_(* #,##0.00_);_(* \(#,##0.00\);_(* &quot;-&quot;??_);_(@_)">
                        <c:v>86.676185316934223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7E8-42A4-9050-0A6BC45C757A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Annualized!$P$36</c15:sqref>
                        </c15:formulaRef>
                      </c:ext>
                    </c:extLst>
                    <c:strCache>
                      <c:ptCount val="1"/>
                      <c:pt idx="0">
                        <c:v>IdealPOS Reseller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ADBF-4A7A-BF72-124112C6338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ADBF-4A7A-BF72-124112C6338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9-ADBF-4A7A-BF72-124112C6338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B-ADBF-4A7A-BF72-124112C6338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D-ADBF-4A7A-BF72-124112C6338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F-ADBF-4A7A-BF72-124112C6338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Annualized!$Q$36:$AA$36</c15:sqref>
                        </c15:fullRef>
                        <c15:formulaRef>
                          <c15:sqref>(Annualized!$U$36:$X$36,Annualized!$Z$36:$AA$36)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 formatCode="_(* #,##0.00_);_(* \(#,##0.00\);_(* &quot;-&quot;??_);_(@_)">
                        <c:v>83.636592395343499</c:v>
                      </c:pt>
                      <c:pt idx="1" formatCode="_(* #,##0.00_);_(* \(#,##0.00\);_(* &quot;-&quot;??_);_(@_)">
                        <c:v>10.503405712157805</c:v>
                      </c:pt>
                      <c:pt idx="2" formatCode="_(* #,##0.00_);_(* \(#,##0.00\);_(* &quot;-&quot;??_);_(@_)">
                        <c:v>0</c:v>
                      </c:pt>
                      <c:pt idx="3" formatCode="_(* #,##0.00_);_(* \(#,##0.00\);_(* &quot;-&quot;??_);_(@_)">
                        <c:v>0</c:v>
                      </c:pt>
                      <c:pt idx="4" formatCode="_(* #,##0.00_);_(* \(#,##0.00\);_(* &quot;-&quot;??_);_(@_)">
                        <c:v>0</c:v>
                      </c:pt>
                      <c:pt idx="5" formatCode="_(* #,##0.00_);_(* \(#,##0.00\);_(* &quot;-&quot;??_);_(@_)">
                        <c:v>73.133186683185698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7E8-42A4-9050-0A6BC45C757A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Annualized!$P$37</c15:sqref>
                        </c15:formulaRef>
                      </c:ext>
                    </c:extLst>
                    <c:strCache>
                      <c:ptCount val="1"/>
                      <c:pt idx="0">
                        <c:v>Oolio Pay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ADBF-4A7A-BF72-124112C6338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ADBF-4A7A-BF72-124112C6338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5-ADBF-4A7A-BF72-124112C6338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7-ADBF-4A7A-BF72-124112C6338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9-ADBF-4A7A-BF72-124112C6338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B-ADBF-4A7A-BF72-124112C6338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Annualized!$Q$37:$AA$37</c15:sqref>
                        </c15:fullRef>
                        <c15:formulaRef>
                          <c15:sqref>(Annualized!$U$37:$X$37,Annualized!$Z$37:$AA$37)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 formatCode="_(* #,##0.00_);_(* \(#,##0.00\);_(* &quot;-&quot;??_);_(@_)">
                        <c:v>97.837126219965867</c:v>
                      </c:pt>
                      <c:pt idx="1" formatCode="_(* #,##0.00_);_(* \(#,##0.00\);_(* &quot;-&quot;??_);_(@_)">
                        <c:v>1.3326489070654797</c:v>
                      </c:pt>
                      <c:pt idx="2" formatCode="_(* #,##0.00_);_(* \(#,##0.00\);_(* &quot;-&quot;??_);_(@_)">
                        <c:v>0</c:v>
                      </c:pt>
                      <c:pt idx="3" formatCode="_(* #,##0.00_);_(* \(#,##0.00\);_(* &quot;-&quot;??_);_(@_)">
                        <c:v>1.6301151809640242</c:v>
                      </c:pt>
                      <c:pt idx="4" formatCode="_(* #,##0.00_);_(* \(#,##0.00\);_(* &quot;-&quot;??_);_(@_)">
                        <c:v>0</c:v>
                      </c:pt>
                      <c:pt idx="5" formatCode="_(* #,##0.00_);_(* \(#,##0.00\);_(* &quot;-&quot;??_);_(@_)">
                        <c:v>94.874362131936365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7E8-42A4-9050-0A6BC45C757A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Annualized!$P$38</c15:sqref>
                        </c15:formulaRef>
                      </c:ext>
                    </c:extLst>
                    <c:strCache>
                      <c:ptCount val="1"/>
                      <c:pt idx="0">
                        <c:v>Oolio Platform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ADBF-4A7A-BF72-124112C6338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ADBF-4A7A-BF72-124112C6338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1-ADBF-4A7A-BF72-124112C6338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3-ADBF-4A7A-BF72-124112C6338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5-ADBF-4A7A-BF72-124112C6338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7-ADBF-4A7A-BF72-124112C6338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Annualized!$Q$38:$AA$38</c15:sqref>
                        </c15:fullRef>
                        <c15:formulaRef>
                          <c15:sqref>(Annualized!$U$38:$X$38,Annualized!$Z$38:$AA$38)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 formatCode="_(* #,##0.00_);_(* \(#,##0.00\);_(* &quot;-&quot;??_);_(@_)">
                        <c:v>70.769520899381263</c:v>
                      </c:pt>
                      <c:pt idx="1" formatCode="_(* #,##0.00_);_(* \(#,##0.00\);_(* &quot;-&quot;??_);_(@_)">
                        <c:v>7.2718696728906496</c:v>
                      </c:pt>
                      <c:pt idx="2" formatCode="_(* #,##0.00_);_(* \(#,##0.00\);_(* &quot;-&quot;??_);_(@_)">
                        <c:v>6.8201178170753618</c:v>
                      </c:pt>
                      <c:pt idx="3" formatCode="_(* #,##0.00_);_(* \(#,##0.00\);_(* &quot;-&quot;??_);_(@_)">
                        <c:v>9.6719346012925325</c:v>
                      </c:pt>
                      <c:pt idx="4" formatCode="_(* #,##0.00_);_(* \(#,##0.00\);_(* &quot;-&quot;??_);_(@_)">
                        <c:v>0</c:v>
                      </c:pt>
                      <c:pt idx="5" formatCode="_(* #,##0.00_);_(* \(#,##0.00\);_(* &quot;-&quot;??_);_(@_)">
                        <c:v>47.00559880812272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7E8-42A4-9050-0A6BC45C757A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Annualized!$P$39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9-ADBF-4A7A-BF72-124112C6338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B-ADBF-4A7A-BF72-124112C6338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D-ADBF-4A7A-BF72-124112C6338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F-ADBF-4A7A-BF72-124112C6338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1-ADBF-4A7A-BF72-124112C6338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3-ADBF-4A7A-BF72-124112C6338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Annualized!$Q$39:$AA$39</c15:sqref>
                        </c15:fullRef>
                        <c15:formulaRef>
                          <c15:sqref>(Annualized!$U$39:$X$39,Annualized!$Z$39:$AA$39)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 formatCode="_(* #,##0.00_);_(* \(#,##0.00\);_(* &quot;-&quot;??_);_(@_)">
                        <c:v>26.440046340509873</c:v>
                      </c:pt>
                      <c:pt idx="1" formatCode="_(* #,##0.00_);_(* \(#,##0.00\);_(* &quot;-&quot;??_);_(@_)">
                        <c:v>0</c:v>
                      </c:pt>
                      <c:pt idx="2" formatCode="_(* #,##0.00_);_(* \(#,##0.00\);_(* &quot;-&quot;??_);_(@_)">
                        <c:v>0</c:v>
                      </c:pt>
                      <c:pt idx="3" formatCode="_(* #,##0.00_);_(* \(#,##0.00\);_(* &quot;-&quot;??_);_(@_)">
                        <c:v>0</c:v>
                      </c:pt>
                      <c:pt idx="4" formatCode="_(* #,##0.00_);_(* \(#,##0.00\);_(* &quot;-&quot;??_);_(@_)">
                        <c:v>0</c:v>
                      </c:pt>
                      <c:pt idx="5" formatCode="_(* #,##0.00_);_(* \(#,##0.00\);_(* &quot;-&quot;??_);_(@_)">
                        <c:v>26.440046340509873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7E8-42A4-9050-0A6BC45C757A}"/>
                  </c:ext>
                </c:extLst>
              </c15:ser>
            </c15:filteredPieSeries>
          </c:ext>
        </c:extLst>
      </c:ofPieChart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rgbClr val="002060"/>
                </a:solidFill>
              </a:rPr>
              <a:t>MSF by Card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85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6C1-4209-9357-F66D3724EC4F}"/>
              </c:ext>
            </c:extLst>
          </c:dPt>
          <c:dLbls>
            <c:dLbl>
              <c:idx val="0"/>
              <c:layout>
                <c:manualLayout>
                  <c:x val="5.4495912806539468E-2"/>
                  <c:y val="-0.2036463928932219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C1-4209-9357-F66D3724EC4F}"/>
                </c:ext>
              </c:extLst>
            </c:dLbl>
            <c:dLbl>
              <c:idx val="1"/>
              <c:layout>
                <c:manualLayout>
                  <c:x val="0.12643051771117167"/>
                  <c:y val="-2.3219762584449979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C1-4209-9357-F66D3724EC4F}"/>
                </c:ext>
              </c:extLst>
            </c:dLbl>
            <c:dLbl>
              <c:idx val="2"/>
              <c:layout>
                <c:manualLayout>
                  <c:x val="-3.8974358974358976E-2"/>
                  <c:y val="-4.1666666666666664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C1-4209-9357-F66D3724EC4F}"/>
                </c:ext>
              </c:extLst>
            </c:dLbl>
            <c:dLbl>
              <c:idx val="3"/>
              <c:layout>
                <c:manualLayout>
                  <c:x val="-0.19182561307901907"/>
                  <c:y val="8.531132675256594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C1-4209-9357-F66D3724EC4F}"/>
                </c:ext>
              </c:extLst>
            </c:dLbl>
            <c:dLbl>
              <c:idx val="4"/>
              <c:layout>
                <c:manualLayout>
                  <c:x val="-0.14309785663713018"/>
                  <c:y val="-0.14362748008499496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6C1-4209-9357-F66D3724EC4F}"/>
                </c:ext>
              </c:extLst>
            </c:dLbl>
            <c:dLbl>
              <c:idx val="5"/>
              <c:layout>
                <c:manualLayout>
                  <c:x val="5.3429080220558089E-2"/>
                  <c:y val="-6.6305557999350784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338265141925377"/>
                      <c:h val="7.489194693145753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16C1-4209-9357-F66D3724EC4F}"/>
                </c:ext>
              </c:extLst>
            </c:dLbl>
            <c:dLbl>
              <c:idx val="6"/>
              <c:layout>
                <c:manualLayout>
                  <c:x val="1.8461538461538387E-2"/>
                  <c:y val="3.888888888888889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6C1-4209-9357-F66D3724EC4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Card'!$C$4:$J$4</c:f>
              <c:numCache>
                <c:formatCode>_-"$"* #,##0_-;\-"$"* #,##0_-;_-"$"* "-"??_-;_-@_-</c:formatCode>
                <c:ptCount val="8"/>
                <c:pt idx="0">
                  <c:v>54878.336363636379</c:v>
                </c:pt>
                <c:pt idx="1">
                  <c:v>313667.54545454535</c:v>
                </c:pt>
                <c:pt idx="2">
                  <c:v>37106.963636363631</c:v>
                </c:pt>
                <c:pt idx="3">
                  <c:v>216052.08181818179</c:v>
                </c:pt>
                <c:pt idx="4">
                  <c:v>253741.6363636365</c:v>
                </c:pt>
                <c:pt idx="5">
                  <c:v>52110.663636363621</c:v>
                </c:pt>
                <c:pt idx="6">
                  <c:v>27299.318181818173</c:v>
                </c:pt>
                <c:pt idx="7">
                  <c:v>25640.481818181815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7-4284-AF77-B566A058790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Card'!$C$5:$J$5</c:f>
              <c:numCache>
                <c:formatCode>0.00%</c:formatCode>
                <c:ptCount val="8"/>
                <c:pt idx="0">
                  <c:v>5.5969729293949604E-2</c:v>
                </c:pt>
                <c:pt idx="1">
                  <c:v>0.31990560885554581</c:v>
                </c:pt>
                <c:pt idx="2">
                  <c:v>3.7844928386420312E-2</c:v>
                </c:pt>
                <c:pt idx="3">
                  <c:v>0.22034881765786485</c:v>
                </c:pt>
                <c:pt idx="4">
                  <c:v>0.25878792323024941</c:v>
                </c:pt>
                <c:pt idx="5">
                  <c:v>5.3147014474512262E-2</c:v>
                </c:pt>
                <c:pt idx="6">
                  <c:v>2.7842233380059315E-2</c:v>
                </c:pt>
                <c:pt idx="7">
                  <c:v>2.6150406907761083E-2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D7-4284-AF77-B566A058790B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Card'!$C$6:$J$6</c:f>
              <c:numCache>
                <c:formatCode>_-"$"* #,##0_-;\-"$"* #,##0_-;_-"$"* "-"??_-;_-@_-</c:formatCode>
                <c:ptCount val="8"/>
                <c:pt idx="0">
                  <c:v>427.90909090909099</c:v>
                </c:pt>
                <c:pt idx="1">
                  <c:v>14657.545454545449</c:v>
                </c:pt>
                <c:pt idx="2">
                  <c:v>1474.3545454545454</c:v>
                </c:pt>
                <c:pt idx="3">
                  <c:v>8538.3454545454515</c:v>
                </c:pt>
                <c:pt idx="4">
                  <c:v>5103.2000000000016</c:v>
                </c:pt>
                <c:pt idx="5">
                  <c:v>1896.1727272727271</c:v>
                </c:pt>
                <c:pt idx="6">
                  <c:v>139.3545454545455</c:v>
                </c:pt>
                <c:pt idx="7">
                  <c:v>227.03636363636366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D7-4284-AF77-B566A058790B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Card'!$C$7:$J$7</c:f>
              <c:numCache>
                <c:formatCode>0.00%</c:formatCode>
                <c:ptCount val="8"/>
                <c:pt idx="0">
                  <c:v>1.3181067316413671E-2</c:v>
                </c:pt>
                <c:pt idx="1">
                  <c:v>0.45150266127625321</c:v>
                </c:pt>
                <c:pt idx="2">
                  <c:v>4.5415175617349736E-2</c:v>
                </c:pt>
                <c:pt idx="3">
                  <c:v>0.26301031830863408</c:v>
                </c:pt>
                <c:pt idx="4">
                  <c:v>0.15719605906529524</c:v>
                </c:pt>
                <c:pt idx="5">
                  <c:v>5.8408622047806377E-2</c:v>
                </c:pt>
                <c:pt idx="6">
                  <c:v>4.2925978519928864E-3</c:v>
                </c:pt>
                <c:pt idx="7">
                  <c:v>6.9934985162548322E-3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D7-4284-AF77-B566A058790B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Card'!$C$8:$J$8</c:f>
              <c:numCache>
                <c:formatCode>_-"$"* #,##0_-;\-"$"* #,##0_-;_-"$"* "-"??_-;_-@_-</c:formatCode>
                <c:ptCount val="8"/>
                <c:pt idx="0">
                  <c:v>52869.518181818159</c:v>
                </c:pt>
                <c:pt idx="1">
                  <c:v>205803.26363636358</c:v>
                </c:pt>
                <c:pt idx="2">
                  <c:v>29898.272727272717</c:v>
                </c:pt>
                <c:pt idx="3">
                  <c:v>149555.40000000002</c:v>
                </c:pt>
                <c:pt idx="4">
                  <c:v>205522.40000000005</c:v>
                </c:pt>
                <c:pt idx="5">
                  <c:v>47205.909090909074</c:v>
                </c:pt>
                <c:pt idx="6">
                  <c:v>18329.754545454529</c:v>
                </c:pt>
                <c:pt idx="7">
                  <c:v>15291.854545454538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D7-4284-AF77-B566A058790B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Card'!$C$9:$J$9</c:f>
              <c:numCache>
                <c:formatCode>0.00%</c:formatCode>
                <c:ptCount val="8"/>
                <c:pt idx="0">
                  <c:v>7.2976135129488404E-2</c:v>
                </c:pt>
                <c:pt idx="1">
                  <c:v>0.28407156512317033</c:v>
                </c:pt>
                <c:pt idx="2">
                  <c:v>4.1268777657105522E-2</c:v>
                </c:pt>
                <c:pt idx="3">
                  <c:v>0.20643227808907874</c:v>
                </c:pt>
                <c:pt idx="4">
                  <c:v>0.28368388724402382</c:v>
                </c:pt>
                <c:pt idx="5">
                  <c:v>6.5158619166558421E-2</c:v>
                </c:pt>
                <c:pt idx="6">
                  <c:v>2.530067779319118E-2</c:v>
                </c:pt>
                <c:pt idx="7">
                  <c:v>2.1107444933616666E-2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D7-4284-AF77-B566A058790B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Card'!$C$10:$J$10</c:f>
              <c:numCache>
                <c:formatCode>_-"$"* #,##0_-;\-"$"* #,##0_-;_-"$"* "-"??_-;_-@_-</c:formatCode>
                <c:ptCount val="8"/>
                <c:pt idx="0">
                  <c:v>3346.9545454545455</c:v>
                </c:pt>
                <c:pt idx="1">
                  <c:v>33475.19999999999</c:v>
                </c:pt>
                <c:pt idx="2">
                  <c:v>4094.1909090909126</c:v>
                </c:pt>
                <c:pt idx="3">
                  <c:v>28557.309090909093</c:v>
                </c:pt>
                <c:pt idx="4">
                  <c:v>26903.490909090906</c:v>
                </c:pt>
                <c:pt idx="5">
                  <c:v>5678.2363636363643</c:v>
                </c:pt>
                <c:pt idx="6">
                  <c:v>2190.763636363632</c:v>
                </c:pt>
                <c:pt idx="7">
                  <c:v>2307.2636363636352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7-4284-AF77-B566A058790B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Card'!$C$11:$J$11</c:f>
              <c:numCache>
                <c:formatCode>0.00%</c:formatCode>
                <c:ptCount val="8"/>
                <c:pt idx="0">
                  <c:v>3.1411037396509481E-2</c:v>
                </c:pt>
                <c:pt idx="1">
                  <c:v>0.3141634416528451</c:v>
                </c:pt>
                <c:pt idx="2">
                  <c:v>3.8423821419552147E-2</c:v>
                </c:pt>
                <c:pt idx="3">
                  <c:v>0.26800922797605642</c:v>
                </c:pt>
                <c:pt idx="4">
                  <c:v>0.25248820907645159</c:v>
                </c:pt>
                <c:pt idx="5">
                  <c:v>5.3290026004873363E-2</c:v>
                </c:pt>
                <c:pt idx="6">
                  <c:v>2.0560230972418412E-2</c:v>
                </c:pt>
                <c:pt idx="7">
                  <c:v>2.165357891216358E-2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D7-4284-AF77-B566A058790B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Card'!$C$12:$J$12</c:f>
              <c:numCache>
                <c:formatCode>_-"$"* #,##0_-;\-"$"* #,##0_-;_-"$"* "-"??_-;_-@_-</c:formatCode>
                <c:ptCount val="8"/>
                <c:pt idx="0">
                  <c:v>134.00909090909087</c:v>
                </c:pt>
                <c:pt idx="1">
                  <c:v>2159.4818181818182</c:v>
                </c:pt>
                <c:pt idx="2">
                  <c:v>302.66363636363627</c:v>
                </c:pt>
                <c:pt idx="3">
                  <c:v>1091.8727272727274</c:v>
                </c:pt>
                <c:pt idx="4">
                  <c:v>1707.7363636363632</c:v>
                </c:pt>
                <c:pt idx="5">
                  <c:v>325.10000000000008</c:v>
                </c:pt>
                <c:pt idx="6">
                  <c:v>42.427272727272722</c:v>
                </c:pt>
                <c:pt idx="7">
                  <c:v>43.418181818181807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D7-4284-AF77-B566A058790B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Card'!$C$13:$J$13</c:f>
              <c:numCache>
                <c:formatCode>0.00%</c:formatCode>
                <c:ptCount val="8"/>
                <c:pt idx="0">
                  <c:v>2.3078320062372985E-2</c:v>
                </c:pt>
                <c:pt idx="1">
                  <c:v>0.37189426650676805</c:v>
                </c:pt>
                <c:pt idx="2">
                  <c:v>5.2123092723464062E-2</c:v>
                </c:pt>
                <c:pt idx="3">
                  <c:v>0.18803640929457777</c:v>
                </c:pt>
                <c:pt idx="4">
                  <c:v>0.29409711023925295</c:v>
                </c:pt>
                <c:pt idx="5">
                  <c:v>5.5986961790280218E-2</c:v>
                </c:pt>
                <c:pt idx="6">
                  <c:v>7.3065951923950026E-3</c:v>
                </c:pt>
                <c:pt idx="7">
                  <c:v>7.4772441908889072E-3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D7-4284-AF77-B566A058790B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Card'!$C$14:$J$14</c:f>
              <c:numCache>
                <c:formatCode>_-"$"* #,##0_-;\-"$"* #,##0_-;_-"$"* "-"??_-;_-@_-</c:formatCode>
                <c:ptCount val="8"/>
                <c:pt idx="0">
                  <c:v>2323.318181818182</c:v>
                </c:pt>
                <c:pt idx="1">
                  <c:v>36658.018181818174</c:v>
                </c:pt>
                <c:pt idx="2">
                  <c:v>3841.1727272727271</c:v>
                </c:pt>
                <c:pt idx="3">
                  <c:v>19450.454545454555</c:v>
                </c:pt>
                <c:pt idx="4">
                  <c:v>20250.890909090904</c:v>
                </c:pt>
                <c:pt idx="5">
                  <c:v>5264.8818181818142</c:v>
                </c:pt>
                <c:pt idx="6">
                  <c:v>1045.6181818181819</c:v>
                </c:pt>
                <c:pt idx="7">
                  <c:v>1162.1999999999996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D7-4284-AF77-B566A058790B}"/>
            </c:ext>
          </c:extLst>
        </c:ser>
        <c:ser>
          <c:idx val="11"/>
          <c:order val="1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Card'!$C$15:$J$15</c:f>
              <c:numCache>
                <c:formatCode>0.00%</c:formatCode>
                <c:ptCount val="8"/>
                <c:pt idx="0">
                  <c:v>2.5815634760159009E-2</c:v>
                </c:pt>
                <c:pt idx="1">
                  <c:v>0.40732690675733951</c:v>
                </c:pt>
                <c:pt idx="2">
                  <c:v>4.2681330931759923E-2</c:v>
                </c:pt>
                <c:pt idx="3">
                  <c:v>0.21612443547081264</c:v>
                </c:pt>
                <c:pt idx="4">
                  <c:v>0.22501851333500544</c:v>
                </c:pt>
                <c:pt idx="5">
                  <c:v>5.8500926449608498E-2</c:v>
                </c:pt>
                <c:pt idx="6">
                  <c:v>1.1618424584133074E-2</c:v>
                </c:pt>
                <c:pt idx="7">
                  <c:v>1.2913827711182074E-2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D7-4284-AF77-B566A058790B}"/>
            </c:ext>
          </c:extLst>
        </c:ser>
        <c:ser>
          <c:idx val="12"/>
          <c:order val="1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Card'!$C$16:$J$16</c:f>
              <c:numCache>
                <c:formatCode>_-"$"* #,##0_-;\-"$"* #,##0_-;_-"$"* "-"??_-;_-@_-</c:formatCode>
                <c:ptCount val="8"/>
                <c:pt idx="0">
                  <c:v>1060.4272727272726</c:v>
                </c:pt>
                <c:pt idx="1">
                  <c:v>10445.127272727272</c:v>
                </c:pt>
                <c:pt idx="2">
                  <c:v>1230.9272727272726</c:v>
                </c:pt>
                <c:pt idx="3">
                  <c:v>6442.0545454545454</c:v>
                </c:pt>
                <c:pt idx="4">
                  <c:v>8646.6181818181813</c:v>
                </c:pt>
                <c:pt idx="5">
                  <c:v>1821.3727272727274</c:v>
                </c:pt>
                <c:pt idx="6">
                  <c:v>565.55454545454506</c:v>
                </c:pt>
                <c:pt idx="7">
                  <c:v>585.65454545454543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D7-4284-AF77-B566A058790B}"/>
            </c:ext>
          </c:extLst>
        </c:ser>
        <c:ser>
          <c:idx val="13"/>
          <c:order val="1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Card'!$C$17:$J$17</c:f>
              <c:numCache>
                <c:formatCode>0.00%</c:formatCode>
                <c:ptCount val="8"/>
                <c:pt idx="0">
                  <c:v>3.4431987474876399E-2</c:v>
                </c:pt>
                <c:pt idx="1">
                  <c:v>0.33915243475686374</c:v>
                </c:pt>
                <c:pt idx="2">
                  <c:v>3.9968108636083348E-2</c:v>
                </c:pt>
                <c:pt idx="3">
                  <c:v>0.20917298821548574</c:v>
                </c:pt>
                <c:pt idx="4">
                  <c:v>0.28075499055272951</c:v>
                </c:pt>
                <c:pt idx="5">
                  <c:v>5.9139824621112953E-2</c:v>
                </c:pt>
                <c:pt idx="6">
                  <c:v>1.836351018714184E-2</c:v>
                </c:pt>
                <c:pt idx="7">
                  <c:v>1.9016155555706425E-2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D7-4284-AF77-B566A058790B}"/>
            </c:ext>
          </c:extLst>
        </c:ser>
        <c:ser>
          <c:idx val="14"/>
          <c:order val="1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Card'!$C$18:$J$18</c:f>
              <c:numCache>
                <c:formatCode>_-"$"* #,##0_-;\-"$"* #,##0_-;_-"$"* "-"??_-;_-@_-</c:formatCode>
                <c:ptCount val="8"/>
                <c:pt idx="0">
                  <c:v>3100.6090909090922</c:v>
                </c:pt>
                <c:pt idx="1">
                  <c:v>44542.145454545469</c:v>
                </c:pt>
                <c:pt idx="2">
                  <c:v>5266.8090909090888</c:v>
                </c:pt>
                <c:pt idx="3">
                  <c:v>33480.83636363635</c:v>
                </c:pt>
                <c:pt idx="4">
                  <c:v>27416.699999999993</c:v>
                </c:pt>
                <c:pt idx="5">
                  <c:v>7882.1545454545458</c:v>
                </c:pt>
                <c:pt idx="6">
                  <c:v>1597.5636363636356</c:v>
                </c:pt>
                <c:pt idx="7">
                  <c:v>1700.100000000001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9D7-4284-AF77-B566A058790B}"/>
            </c:ext>
          </c:extLst>
        </c:ser>
        <c:ser>
          <c:idx val="15"/>
          <c:order val="1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Card'!$C$19:$J$19</c:f>
              <c:numCache>
                <c:formatCode>0.00%</c:formatCode>
                <c:ptCount val="8"/>
                <c:pt idx="0">
                  <c:v>2.4807898388770771E-2</c:v>
                </c:pt>
                <c:pt idx="1">
                  <c:v>0.35638062911382001</c:v>
                </c:pt>
                <c:pt idx="2">
                  <c:v>4.2139612227614941E-2</c:v>
                </c:pt>
                <c:pt idx="3">
                  <c:v>0.26787936245024202</c:v>
                </c:pt>
                <c:pt idx="4">
                  <c:v>0.21936035398644615</c:v>
                </c:pt>
                <c:pt idx="5">
                  <c:v>6.3064927991581227E-2</c:v>
                </c:pt>
                <c:pt idx="6">
                  <c:v>1.2782068038407297E-2</c:v>
                </c:pt>
                <c:pt idx="7">
                  <c:v>1.360245900536379E-2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9D7-4284-AF77-B566A058790B}"/>
            </c:ext>
          </c:extLst>
        </c:ser>
        <c:ser>
          <c:idx val="16"/>
          <c:order val="1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Card'!$C$20:$J$20</c:f>
              <c:numCache>
                <c:formatCode>_-"$"* #,##0_-;\-"$"* #,##0_-;_-"$"* "-"??_-;_-@_-</c:formatCode>
                <c:ptCount val="8"/>
                <c:pt idx="0">
                  <c:v>68.572727272727263</c:v>
                </c:pt>
                <c:pt idx="1">
                  <c:v>2587.2090909090907</c:v>
                </c:pt>
                <c:pt idx="2">
                  <c:v>276.0545454545454</c:v>
                </c:pt>
                <c:pt idx="3">
                  <c:v>1277.6181818181817</c:v>
                </c:pt>
                <c:pt idx="4">
                  <c:v>1154.8999999999994</c:v>
                </c:pt>
                <c:pt idx="5">
                  <c:v>331.32727272727266</c:v>
                </c:pt>
                <c:pt idx="6">
                  <c:v>15.745454545454544</c:v>
                </c:pt>
                <c:pt idx="7">
                  <c:v>7.9545454545454541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9D7-4284-AF77-B566A058790B}"/>
            </c:ext>
          </c:extLst>
        </c:ser>
        <c:ser>
          <c:idx val="17"/>
          <c:order val="17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Card'!$C$21:$J$21</c:f>
              <c:numCache>
                <c:formatCode>0.00%</c:formatCode>
                <c:ptCount val="8"/>
                <c:pt idx="0">
                  <c:v>1.1989534787612138E-2</c:v>
                </c:pt>
                <c:pt idx="1">
                  <c:v>0.45235816966868636</c:v>
                </c:pt>
                <c:pt idx="2">
                  <c:v>4.8266500511816274E-2</c:v>
                </c:pt>
                <c:pt idx="3">
                  <c:v>0.22338396393761564</c:v>
                </c:pt>
                <c:pt idx="4">
                  <c:v>0.20192741745770354</c:v>
                </c:pt>
                <c:pt idx="5">
                  <c:v>5.7930609156742932E-2</c:v>
                </c:pt>
                <c:pt idx="6">
                  <c:v>2.752999370561345E-3</c:v>
                </c:pt>
                <c:pt idx="7">
                  <c:v>1.3908051092616494E-3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9D7-4284-AF77-B566A058790B}"/>
            </c:ext>
          </c:extLst>
        </c:ser>
        <c:ser>
          <c:idx val="18"/>
          <c:order val="18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Card'!$C$22:$J$22</c:f>
              <c:numCache>
                <c:formatCode>_-"$"* #,##0_-;\-"$"* #,##0_-;_-"$"* "-"??_-;_-@_-</c:formatCode>
                <c:ptCount val="8"/>
                <c:pt idx="0">
                  <c:v>2236.1272727272726</c:v>
                </c:pt>
                <c:pt idx="1">
                  <c:v>0</c:v>
                </c:pt>
                <c:pt idx="2">
                  <c:v>369.08181818181822</c:v>
                </c:pt>
                <c:pt idx="3">
                  <c:v>4186.7363636363643</c:v>
                </c:pt>
                <c:pt idx="4">
                  <c:v>1265.9000000000001</c:v>
                </c:pt>
                <c:pt idx="5">
                  <c:v>712.52727272727259</c:v>
                </c:pt>
                <c:pt idx="6">
                  <c:v>1479.6090909090904</c:v>
                </c:pt>
                <c:pt idx="7">
                  <c:v>1767.4454545454539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9D7-4284-AF77-B566A058790B}"/>
            </c:ext>
          </c:extLst>
        </c:ser>
        <c:ser>
          <c:idx val="19"/>
          <c:order val="19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Card'!$C$23:$J$23</c:f>
              <c:numCache>
                <c:formatCode>0.00%</c:formatCode>
                <c:ptCount val="8"/>
                <c:pt idx="0">
                  <c:v>0.18604851690043689</c:v>
                </c:pt>
                <c:pt idx="1">
                  <c:v>0</c:v>
                </c:pt>
                <c:pt idx="2">
                  <c:v>3.0708057508683186E-2</c:v>
                </c:pt>
                <c:pt idx="3">
                  <c:v>0.34834157277535072</c:v>
                </c:pt>
                <c:pt idx="4">
                  <c:v>0.10532442424755843</c:v>
                </c:pt>
                <c:pt idx="5">
                  <c:v>5.9283138289503934E-2</c:v>
                </c:pt>
                <c:pt idx="6">
                  <c:v>0.12310528131088813</c:v>
                </c:pt>
                <c:pt idx="7">
                  <c:v>0.14705361789159027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9D7-4284-AF77-B566A058790B}"/>
            </c:ext>
          </c:extLst>
        </c:ser>
        <c:ser>
          <c:idx val="20"/>
          <c:order val="2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Card'!$C$24:$J$24</c:f>
              <c:numCache>
                <c:formatCode>_-"$"* #,##0_-;\-"$"* #,##0_-;_-"$"* "-"??_-;_-@_-</c:formatCode>
                <c:ptCount val="8"/>
                <c:pt idx="0">
                  <c:v>120445.7818181818</c:v>
                </c:pt>
                <c:pt idx="1">
                  <c:v>663995.53636363626</c:v>
                </c:pt>
                <c:pt idx="2">
                  <c:v>83860.490909090862</c:v>
                </c:pt>
                <c:pt idx="3">
                  <c:v>468632.70909090899</c:v>
                </c:pt>
                <c:pt idx="4">
                  <c:v>551713.47272727289</c:v>
                </c:pt>
                <c:pt idx="5">
                  <c:v>123228.34545454542</c:v>
                </c:pt>
                <c:pt idx="6">
                  <c:v>52705.709090909069</c:v>
                </c:pt>
                <c:pt idx="7">
                  <c:v>48733.409090909074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9D7-4284-AF77-B566A058790B}"/>
            </c:ext>
          </c:extLst>
        </c:ser>
        <c:ser>
          <c:idx val="21"/>
          <c:order val="2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B9D7-4284-AF77-B566A05879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B9D7-4284-AF77-B566A05879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B9D7-4284-AF77-B566A05879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B9D7-4284-AF77-B566A05879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B9D7-4284-AF77-B566A05879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B9D7-4284-AF77-B566A05879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B9D7-4284-AF77-B566A058790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B9D7-4284-AF77-B566A058790B}"/>
              </c:ext>
            </c:extLst>
          </c:dPt>
          <c:dLbls>
            <c:dLbl>
              <c:idx val="0"/>
              <c:layout>
                <c:manualLayout>
                  <c:x val="0.11076923076923077"/>
                  <c:y val="-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9D7-4284-AF77-B566A058790B}"/>
                </c:ext>
              </c:extLst>
            </c:dLbl>
            <c:dLbl>
              <c:idx val="5"/>
              <c:layout>
                <c:manualLayout>
                  <c:x val="-6.7692307692307718E-2"/>
                  <c:y val="1.94444444444444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9D7-4284-AF77-B566A058790B}"/>
                </c:ext>
              </c:extLst>
            </c:dLbl>
            <c:dLbl>
              <c:idx val="6"/>
              <c:layout>
                <c:manualLayout>
                  <c:x val="2.4615384615384615E-2"/>
                  <c:y val="-1.66666666666666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9D7-4284-AF77-B566A058790B}"/>
                </c:ext>
              </c:extLst>
            </c:dLbl>
            <c:dLbl>
              <c:idx val="7"/>
              <c:layout>
                <c:manualLayout>
                  <c:x val="0.10666666666666667"/>
                  <c:y val="-2.500000000000001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9D7-4284-AF77-B566A058790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Card'!$C$25:$J$25</c:f>
              <c:numCache>
                <c:formatCode>0.00%</c:formatCode>
                <c:ptCount val="8"/>
                <c:pt idx="0">
                  <c:v>5.6993667284745239E-2</c:v>
                </c:pt>
                <c:pt idx="1">
                  <c:v>0.31419564975045394</c:v>
                </c:pt>
                <c:pt idx="2">
                  <c:v>3.9681895414345171E-2</c:v>
                </c:pt>
                <c:pt idx="3">
                  <c:v>0.22175203064391766</c:v>
                </c:pt>
                <c:pt idx="4">
                  <c:v>0.26106496737757007</c:v>
                </c:pt>
                <c:pt idx="5">
                  <c:v>5.831034690353782E-2</c:v>
                </c:pt>
                <c:pt idx="6">
                  <c:v>2.4939782884786703E-2</c:v>
                </c:pt>
                <c:pt idx="7">
                  <c:v>2.3060132629396705E-2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9D7-4284-AF77-B566A0587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rgbClr val="002060"/>
                </a:solidFill>
              </a:rPr>
              <a:t>GP Contribution of Each Card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1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32"/>
          <c:order val="32"/>
          <c:explosion val="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3111-445C-BD08-BBE477D9EA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3111-445C-BD08-BBE477D9EA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3111-445C-BD08-BBE477D9EA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3111-445C-BD08-BBE477D9EA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3111-445C-BD08-BBE477D9EA5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3111-445C-BD08-BBE477D9EA5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3111-445C-BD08-BBE477D9EA5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3111-445C-BD08-BBE477D9EA58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2CA0CA59-A407-42D1-9762-CC3B22C47253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, </a:t>
                    </a:r>
                    <a:fld id="{5B6DAA73-F7D2-4FAD-A7C3-7D1C965C63A6}" type="VALUE">
                      <a:rPr lang="en-US" baseline="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3-3111-445C-BD08-BBE477D9EA5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34F76AC-6CB2-42A1-93B6-956E65D65314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, </a:t>
                    </a:r>
                    <a:fld id="{9520A69D-0E65-45B8-9F31-2815B664A068}" type="VALUE">
                      <a:rPr lang="en-US" baseline="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7-3111-445C-BD08-BBE477D9EA5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DB601C1-128B-46DF-B89D-55FC8C829AE2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, </a:t>
                    </a:r>
                    <a:fld id="{01900080-89C6-4661-A4F0-9545478156AC}" type="VALUE">
                      <a:rPr lang="en-US" baseline="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9-3111-445C-BD08-BBE477D9EA58}"/>
                </c:ext>
              </c:extLst>
            </c:dLbl>
            <c:dLbl>
              <c:idx val="6"/>
              <c:layout>
                <c:manualLayout>
                  <c:x val="3.6989465283784925E-2"/>
                  <c:y val="9.911167838072627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533005897279315"/>
                      <c:h val="3.72542296425028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D-3111-445C-BD08-BBE477D9EA58}"/>
                </c:ext>
              </c:extLst>
            </c:dLbl>
            <c:dLbl>
              <c:idx val="7"/>
              <c:layout>
                <c:manualLayout>
                  <c:x val="2.905388196833145E-2"/>
                  <c:y val="7.231079653432441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3111-445C-BD08-BBE477D9EA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'GP by Card Type'!$C$2:$J$2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'GP by Card Type'!$C$36:$J$36</c:f>
              <c:numCache>
                <c:formatCode>0.00%</c:formatCode>
                <c:ptCount val="8"/>
                <c:pt idx="0">
                  <c:v>-1.1842473450968893E-2</c:v>
                </c:pt>
                <c:pt idx="1">
                  <c:v>0.5472595907488651</c:v>
                </c:pt>
                <c:pt idx="2">
                  <c:v>5.0147097540803744E-2</c:v>
                </c:pt>
                <c:pt idx="3">
                  <c:v>0.26069468183342986</c:v>
                </c:pt>
                <c:pt idx="4">
                  <c:v>0.18291099492920829</c:v>
                </c:pt>
                <c:pt idx="5">
                  <c:v>7.8245092488626183E-2</c:v>
                </c:pt>
                <c:pt idx="6">
                  <c:v>-5.4965944217578187E-2</c:v>
                </c:pt>
                <c:pt idx="7">
                  <c:v>-5.2449686464868701E-2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11-445C-BD08-BBE477D9EA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3-B441-4419-BD2D-F7AADA128C7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4-B441-4419-BD2D-F7AADA128C7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5-B441-4419-BD2D-F7AADA128C7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0-B441-4419-BD2D-F7AADA128C7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1-B441-4419-BD2D-F7AADA128C7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2-B441-4419-BD2D-F7AADA128C7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1"/>
                  <c:showVal val="1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'GP by Card Type'!$C$4:$J$4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-4670.9136363636208</c:v>
                      </c:pt>
                      <c:pt idx="1">
                        <c:v>248641.13545454535</c:v>
                      </c:pt>
                      <c:pt idx="2">
                        <c:v>20972.213636363631</c:v>
                      </c:pt>
                      <c:pt idx="3">
                        <c:v>112732.35181818179</c:v>
                      </c:pt>
                      <c:pt idx="4">
                        <c:v>84411.636363636499</c:v>
                      </c:pt>
                      <c:pt idx="5">
                        <c:v>31269.663636363621</c:v>
                      </c:pt>
                      <c:pt idx="6">
                        <c:v>-27962.221818181828</c:v>
                      </c:pt>
                      <c:pt idx="7">
                        <c:v>-29308.448181818185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111-445C-BD08-BBE477D9EA58}"/>
                  </c:ext>
                </c:extLst>
              </c15:ser>
            </c15:filteredPieSeries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Type'!$C$5:$J$5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-8.511398023098006E-2</c:v>
                      </c:pt>
                      <c:pt idx="1">
                        <c:v>0.79269002820878964</c:v>
                      </c:pt>
                      <c:pt idx="2">
                        <c:v>0.56518269298142021</c:v>
                      </c:pt>
                      <c:pt idx="3">
                        <c:v>0.52178322407025679</c:v>
                      </c:pt>
                      <c:pt idx="4">
                        <c:v>0.33266765980284924</c:v>
                      </c:pt>
                      <c:pt idx="5">
                        <c:v>0.60006266384493268</c:v>
                      </c:pt>
                      <c:pt idx="6">
                        <c:v>-1.0242827909454955</c:v>
                      </c:pt>
                      <c:pt idx="7">
                        <c:v>-1.1430537222212178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11-445C-BD08-BBE477D9EA58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Type'!$C$6:$J$6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-1.071099822635169E-2</c:v>
                      </c:pt>
                      <c:pt idx="1">
                        <c:v>0.57016570379687948</c:v>
                      </c:pt>
                      <c:pt idx="2">
                        <c:v>4.8091949573411542E-2</c:v>
                      </c:pt>
                      <c:pt idx="3">
                        <c:v>0.25850960098612291</c:v>
                      </c:pt>
                      <c:pt idx="4">
                        <c:v>0.1935666034018638</c:v>
                      </c:pt>
                      <c:pt idx="5">
                        <c:v>7.1705310314504639E-2</c:v>
                      </c:pt>
                      <c:pt idx="6">
                        <c:v>-6.4120926143384258E-2</c:v>
                      </c:pt>
                      <c:pt idx="7">
                        <c:v>-6.7207994180977573E-2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11-445C-BD08-BBE477D9EA58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Type'!$C$7:$J$7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-73.520909090909015</c:v>
                      </c:pt>
                      <c:pt idx="1">
                        <c:v>11961.205454545448</c:v>
                      </c:pt>
                      <c:pt idx="2">
                        <c:v>825.74454545454535</c:v>
                      </c:pt>
                      <c:pt idx="3">
                        <c:v>4762.905454545451</c:v>
                      </c:pt>
                      <c:pt idx="4">
                        <c:v>1488.0300000000016</c:v>
                      </c:pt>
                      <c:pt idx="5">
                        <c:v>1184.5527272727272</c:v>
                      </c:pt>
                      <c:pt idx="6">
                        <c:v>-179.44545454545451</c:v>
                      </c:pt>
                      <c:pt idx="7">
                        <c:v>-256.52363636363634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11-445C-BD08-BBE477D9EA58}"/>
                  </c:ext>
                </c:extLst>
              </c15:ser>
            </c15:filteredPieSeries>
            <c15:filteredPieSeries>
              <c15:ser>
                <c:idx val="4"/>
                <c:order val="4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Type'!$C$8:$J$8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-0.17181431909921371</c:v>
                      </c:pt>
                      <c:pt idx="1">
                        <c:v>0.8160442341208064</c:v>
                      </c:pt>
                      <c:pt idx="2">
                        <c:v>0.56007189586814565</c:v>
                      </c:pt>
                      <c:pt idx="3">
                        <c:v>0.55782533980396432</c:v>
                      </c:pt>
                      <c:pt idx="4">
                        <c:v>0.29158763129017107</c:v>
                      </c:pt>
                      <c:pt idx="5">
                        <c:v>0.62470718528710945</c:v>
                      </c:pt>
                      <c:pt idx="6">
                        <c:v>-1.2876899993476409</c:v>
                      </c:pt>
                      <c:pt idx="7">
                        <c:v>-1.1298790742372065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11-445C-BD08-BBE477D9EA58}"/>
                  </c:ext>
                </c:extLst>
              </c15:ser>
            </c15:filteredPieSeries>
            <c15:filteredPieSeries>
              <c15:ser>
                <c:idx val="5"/>
                <c:order val="5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Type'!$C$9:$J$9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-3.729574511777974E-3</c:v>
                      </c:pt>
                      <c:pt idx="1">
                        <c:v>0.60676897966878529</c:v>
                      </c:pt>
                      <c:pt idx="2">
                        <c:v>4.1888434841834243E-2</c:v>
                      </c:pt>
                      <c:pt idx="3">
                        <c:v>0.24161304593386074</c:v>
                      </c:pt>
                      <c:pt idx="4">
                        <c:v>7.5484903946151233E-2</c:v>
                      </c:pt>
                      <c:pt idx="5">
                        <c:v>6.0090084768004141E-2</c:v>
                      </c:pt>
                      <c:pt idx="6">
                        <c:v>-9.1029232609134685E-3</c:v>
                      </c:pt>
                      <c:pt idx="7">
                        <c:v>-1.3012951385944167E-2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11-445C-BD08-BBE477D9EA58}"/>
                  </c:ext>
                </c:extLst>
              </c15:ser>
            </c15:filteredPieSeries>
            <c15:filteredPieSeries>
              <c15:ser>
                <c:idx val="6"/>
                <c:order val="6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Type'!$C$10:$J$10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-5436.7718181818418</c:v>
                      </c:pt>
                      <c:pt idx="1">
                        <c:v>172714.26363636358</c:v>
                      </c:pt>
                      <c:pt idx="2">
                        <c:v>18568.272727272717</c:v>
                      </c:pt>
                      <c:pt idx="3">
                        <c:v>89629.400000000023</c:v>
                      </c:pt>
                      <c:pt idx="4">
                        <c:v>65245.400000000052</c:v>
                      </c:pt>
                      <c:pt idx="5">
                        <c:v>31234.909090909074</c:v>
                      </c:pt>
                      <c:pt idx="6">
                        <c:v>-18840.245454545471</c:v>
                      </c:pt>
                      <c:pt idx="7">
                        <c:v>-15427.145454545462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11-445C-BD08-BBE477D9EA58}"/>
                  </c:ext>
                </c:extLst>
              </c15:ser>
            </c15:filteredPieSeries>
            <c15:filteredPieSeries>
              <c15:ser>
                <c:idx val="7"/>
                <c:order val="7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Type'!$C$11:$J$11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-0.10283376896844029</c:v>
                      </c:pt>
                      <c:pt idx="1">
                        <c:v>0.8392202367671614</c:v>
                      </c:pt>
                      <c:pt idx="2">
                        <c:v>0.62104834271362575</c:v>
                      </c:pt>
                      <c:pt idx="3">
                        <c:v>0.59930567535508583</c:v>
                      </c:pt>
                      <c:pt idx="4">
                        <c:v>0.31746125969723998</c:v>
                      </c:pt>
                      <c:pt idx="5">
                        <c:v>0.6616737118812166</c:v>
                      </c:pt>
                      <c:pt idx="6">
                        <c:v>-1.0278503952589773</c:v>
                      </c:pt>
                      <c:pt idx="7">
                        <c:v>-1.0088472532019432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11-445C-BD08-BBE477D9EA58}"/>
                  </c:ext>
                </c:extLst>
              </c15:ser>
            </c15:filteredPieSeries>
            <c15:filteredPieSeries>
              <c15:ser>
                <c:idx val="8"/>
                <c:order val="8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Type'!$C$12:$J$12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-1.6099980002795607E-2</c:v>
                      </c:pt>
                      <c:pt idx="1">
                        <c:v>0.511460896968992</c:v>
                      </c:pt>
                      <c:pt idx="2">
                        <c:v>5.4986456962528886E-2</c:v>
                      </c:pt>
                      <c:pt idx="3">
                        <c:v>0.26542065694880418</c:v>
                      </c:pt>
                      <c:pt idx="4">
                        <c:v>0.19321201448283171</c:v>
                      </c:pt>
                      <c:pt idx="5">
                        <c:v>9.249632476224609E-2</c:v>
                      </c:pt>
                      <c:pt idx="6">
                        <c:v>-5.5791853182350644E-2</c:v>
                      </c:pt>
                      <c:pt idx="7">
                        <c:v>-4.5684597703322942E-2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111-445C-BD08-BBE477D9EA58}"/>
                  </c:ext>
                </c:extLst>
              </c15:ser>
            </c15:filteredPieSeries>
            <c15:filteredPieSeries>
              <c15:ser>
                <c:idx val="9"/>
                <c:order val="9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Type'!$C$13:$J$13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-204.73545454545456</c:v>
                      </c:pt>
                      <c:pt idx="1">
                        <c:v>25541.329999999991</c:v>
                      </c:pt>
                      <c:pt idx="2">
                        <c:v>2374.7709090909125</c:v>
                      </c:pt>
                      <c:pt idx="3">
                        <c:v>15526.309090909093</c:v>
                      </c:pt>
                      <c:pt idx="4">
                        <c:v>9882.4909090909059</c:v>
                      </c:pt>
                      <c:pt idx="5">
                        <c:v>3497.6563636363644</c:v>
                      </c:pt>
                      <c:pt idx="6">
                        <c:v>-2478.3363636363683</c:v>
                      </c:pt>
                      <c:pt idx="7">
                        <c:v>-2322.7363636363648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111-445C-BD08-BBE477D9EA58}"/>
                  </c:ext>
                </c:extLst>
              </c15:ser>
            </c15:filteredPieSeries>
            <c15:filteredPieSeries>
              <c15:ser>
                <c:idx val="10"/>
                <c:order val="1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Type'!$C$14:$J$14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-6.1170670759034672E-2</c:v>
                      </c:pt>
                      <c:pt idx="1">
                        <c:v>0.76299260347959086</c:v>
                      </c:pt>
                      <c:pt idx="2">
                        <c:v>0.58003423919922048</c:v>
                      </c:pt>
                      <c:pt idx="3">
                        <c:v>0.54368949964728031</c:v>
                      </c:pt>
                      <c:pt idx="4">
                        <c:v>0.36733117432546764</c:v>
                      </c:pt>
                      <c:pt idx="5">
                        <c:v>0.61597583116396581</c:v>
                      </c:pt>
                      <c:pt idx="6">
                        <c:v>-1.1312659761643971</c:v>
                      </c:pt>
                      <c:pt idx="7">
                        <c:v>-1.0067060941926496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11-445C-BD08-BBE477D9EA58}"/>
                  </c:ext>
                </c:extLst>
              </c15:ser>
            </c15:filteredPieSeries>
            <c15:filteredPieSeries>
              <c15:ser>
                <c:idx val="11"/>
                <c:order val="1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Type'!$C$15:$J$15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-3.951140174184283E-3</c:v>
                      </c:pt>
                      <c:pt idx="1">
                        <c:v>0.49291596948438127</c:v>
                      </c:pt>
                      <c:pt idx="2">
                        <c:v>4.5830131201384308E-2</c:v>
                      </c:pt>
                      <c:pt idx="3">
                        <c:v>0.29963849564841066</c:v>
                      </c:pt>
                      <c:pt idx="4">
                        <c:v>0.19071980931984084</c:v>
                      </c:pt>
                      <c:pt idx="5">
                        <c:v>6.7500426853458098E-2</c:v>
                      </c:pt>
                      <c:pt idx="6">
                        <c:v>-4.7828815938332776E-2</c:v>
                      </c:pt>
                      <c:pt idx="7">
                        <c:v>-4.4825929054534183E-2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111-445C-BD08-BBE477D9EA58}"/>
                  </c:ext>
                </c:extLst>
              </c15:ser>
            </c15:filteredPieSeries>
            <c15:filteredPieSeries>
              <c15:ser>
                <c:idx val="12"/>
                <c:order val="12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Type'!$C$16:$J$16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-49.890909090909133</c:v>
                      </c:pt>
                      <c:pt idx="1">
                        <c:v>1730.1118181818183</c:v>
                      </c:pt>
                      <c:pt idx="2">
                        <c:v>142.61363636363626</c:v>
                      </c:pt>
                      <c:pt idx="3">
                        <c:v>543.27272727272737</c:v>
                      </c:pt>
                      <c:pt idx="4">
                        <c:v>186.77636363636316</c:v>
                      </c:pt>
                      <c:pt idx="5">
                        <c:v>171.80000000000007</c:v>
                      </c:pt>
                      <c:pt idx="6">
                        <c:v>-66.892727272727271</c:v>
                      </c:pt>
                      <c:pt idx="7">
                        <c:v>-56.941818181818192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111-445C-BD08-BBE477D9EA58}"/>
                  </c:ext>
                </c:extLst>
              </c15:ser>
            </c15:filteredPieSeries>
            <c15:filteredPieSeries>
              <c15:ser>
                <c:idx val="13"/>
                <c:order val="13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Type'!$C$17:$J$17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-0.3722949596363887</c:v>
                      </c:pt>
                      <c:pt idx="1">
                        <c:v>0.80116989345086997</c:v>
                      </c:pt>
                      <c:pt idx="2">
                        <c:v>0.47119514612681324</c:v>
                      </c:pt>
                      <c:pt idx="3">
                        <c:v>0.49756048823539212</c:v>
                      </c:pt>
                      <c:pt idx="4">
                        <c:v>0.10937072467008402</c:v>
                      </c:pt>
                      <c:pt idx="5">
                        <c:v>0.52845278375884353</c:v>
                      </c:pt>
                      <c:pt idx="6">
                        <c:v>-1.5766445253910437</c:v>
                      </c:pt>
                      <c:pt idx="7">
                        <c:v>-1.3114740368509219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11-445C-BD08-BBE477D9EA58}"/>
                  </c:ext>
                </c:extLst>
              </c15:ser>
            </c15:filteredPieSeries>
            <c15:filteredPieSeries>
              <c15:ser>
                <c:idx val="14"/>
                <c:order val="14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Type'!$C$18:$J$18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-1.9182546678811908E-2</c:v>
                      </c:pt>
                      <c:pt idx="1">
                        <c:v>0.66521038234366847</c:v>
                      </c:pt>
                      <c:pt idx="2">
                        <c:v>5.4833491440207965E-2</c:v>
                      </c:pt>
                      <c:pt idx="3">
                        <c:v>0.20888283336840358</c:v>
                      </c:pt>
                      <c:pt idx="4">
                        <c:v>7.1813610520200577E-2</c:v>
                      </c:pt>
                      <c:pt idx="5">
                        <c:v>6.6055351154553063E-2</c:v>
                      </c:pt>
                      <c:pt idx="6">
                        <c:v>-2.5719572698985723E-2</c:v>
                      </c:pt>
                      <c:pt idx="7">
                        <c:v>-2.189354944923582E-2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111-445C-BD08-BBE477D9EA58}"/>
                  </c:ext>
                </c:extLst>
              </c15:ser>
            </c15:filteredPieSeries>
            <c15:filteredPieSeries>
              <c15:ser>
                <c:idx val="15"/>
                <c:order val="15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Type'!$C$19:$J$19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-351.59181818181787</c:v>
                      </c:pt>
                      <c:pt idx="1">
                        <c:v>29532.138181818173</c:v>
                      </c:pt>
                      <c:pt idx="2">
                        <c:v>2239.1727272727271</c:v>
                      </c:pt>
                      <c:pt idx="3">
                        <c:v>10849.454545454555</c:v>
                      </c:pt>
                      <c:pt idx="4">
                        <c:v>6449.8909090909037</c:v>
                      </c:pt>
                      <c:pt idx="5">
                        <c:v>3289.8818181818142</c:v>
                      </c:pt>
                      <c:pt idx="6">
                        <c:v>-1089.3818181818181</c:v>
                      </c:pt>
                      <c:pt idx="7">
                        <c:v>-1161.8000000000004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111-445C-BD08-BBE477D9EA58}"/>
                  </c:ext>
                </c:extLst>
              </c15:ser>
            </c15:filteredPieSeries>
            <c15:filteredPieSeries>
              <c15:ser>
                <c:idx val="16"/>
                <c:order val="16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Type'!$C$20:$J$20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-0.1513317551307885</c:v>
                      </c:pt>
                      <c:pt idx="1">
                        <c:v>0.80561196831054194</c:v>
                      </c:pt>
                      <c:pt idx="2">
                        <c:v>0.58293986921607743</c:v>
                      </c:pt>
                      <c:pt idx="3">
                        <c:v>0.55779953728587806</c:v>
                      </c:pt>
                      <c:pt idx="4">
                        <c:v>0.31849911878175485</c:v>
                      </c:pt>
                      <c:pt idx="5">
                        <c:v>0.6248728711859195</c:v>
                      </c:pt>
                      <c:pt idx="6">
                        <c:v>-1.0418543184545026</c:v>
                      </c:pt>
                      <c:pt idx="7">
                        <c:v>-0.99965582515918161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111-445C-BD08-BBE477D9EA58}"/>
                  </c:ext>
                </c:extLst>
              </c15:ser>
            </c15:filteredPieSeries>
            <c15:filteredPieSeries>
              <c15:ser>
                <c:idx val="17"/>
                <c:order val="17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Type'!$C$21:$J$21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-7.0660694143651285E-3</c:v>
                      </c:pt>
                      <c:pt idx="1">
                        <c:v>0.59351818659055877</c:v>
                      </c:pt>
                      <c:pt idx="2">
                        <c:v>4.5001473593678148E-2</c:v>
                      </c:pt>
                      <c:pt idx="3">
                        <c:v>0.21804545772034031</c:v>
                      </c:pt>
                      <c:pt idx="4">
                        <c:v>0.12962581755856059</c:v>
                      </c:pt>
                      <c:pt idx="5">
                        <c:v>6.6117958638926652E-2</c:v>
                      </c:pt>
                      <c:pt idx="6">
                        <c:v>-2.1893704995260586E-2</c:v>
                      </c:pt>
                      <c:pt idx="7">
                        <c:v>-2.3349119692438695E-2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11-445C-BD08-BBE477D9EA58}"/>
                  </c:ext>
                </c:extLst>
              </c15:ser>
            </c15:filteredPieSeries>
            <c15:filteredPieSeries>
              <c15:ser>
                <c:idx val="18"/>
                <c:order val="18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Type'!$C$22:$J$22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-227.35272727272741</c:v>
                      </c:pt>
                      <c:pt idx="1">
                        <c:v>8361.0372727272716</c:v>
                      </c:pt>
                      <c:pt idx="2">
                        <c:v>725.56727272727255</c:v>
                      </c:pt>
                      <c:pt idx="3">
                        <c:v>3487.9545454545455</c:v>
                      </c:pt>
                      <c:pt idx="4">
                        <c:v>3429.4181818181814</c:v>
                      </c:pt>
                      <c:pt idx="5">
                        <c:v>1181.4827272727275</c:v>
                      </c:pt>
                      <c:pt idx="6">
                        <c:v>-583.125454545455</c:v>
                      </c:pt>
                      <c:pt idx="7">
                        <c:v>-624.8154545454546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11-445C-BD08-BBE477D9EA58}"/>
                  </c:ext>
                </c:extLst>
              </c15:ser>
            </c15:filteredPieSeries>
            <c15:filteredPieSeries>
              <c15:ser>
                <c:idx val="19"/>
                <c:order val="19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Type'!$C$23:$J$23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-0.21439728411360789</c:v>
                      </c:pt>
                      <c:pt idx="1">
                        <c:v>0.80047251262876817</c:v>
                      </c:pt>
                      <c:pt idx="2">
                        <c:v>0.58944771864521939</c:v>
                      </c:pt>
                      <c:pt idx="3">
                        <c:v>0.54143511527942811</c:v>
                      </c:pt>
                      <c:pt idx="4">
                        <c:v>0.39661959273620373</c:v>
                      </c:pt>
                      <c:pt idx="5">
                        <c:v>0.64867707173909794</c:v>
                      </c:pt>
                      <c:pt idx="6">
                        <c:v>-1.0310684605616385</c:v>
                      </c:pt>
                      <c:pt idx="7">
                        <c:v>-1.0668669088199685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11-445C-BD08-BBE477D9EA58}"/>
                  </c:ext>
                </c:extLst>
              </c15:ser>
            </c15:filteredPieSeries>
            <c15:filteredPieSeries>
              <c15:ser>
                <c:idx val="20"/>
                <c:order val="2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Type'!$C$24:$J$24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-1.4434941322120535E-2</c:v>
                      </c:pt>
                      <c:pt idx="1">
                        <c:v>0.53085390209153926</c:v>
                      </c:pt>
                      <c:pt idx="2">
                        <c:v>4.6067276749688593E-2</c:v>
                      </c:pt>
                      <c:pt idx="3">
                        <c:v>0.22145509227810184</c:v>
                      </c:pt>
                      <c:pt idx="4">
                        <c:v>0.21773853701862778</c:v>
                      </c:pt>
                      <c:pt idx="5">
                        <c:v>7.5013983979274598E-2</c:v>
                      </c:pt>
                      <c:pt idx="6">
                        <c:v>-3.7023447313659009E-2</c:v>
                      </c:pt>
                      <c:pt idx="7">
                        <c:v>-3.967040348145242E-2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11-445C-BD08-BBE477D9EA58}"/>
                  </c:ext>
                </c:extLst>
              </c15:ser>
            </c15:filteredPieSeries>
            <c15:filteredPieSeries>
              <c15:ser>
                <c:idx val="21"/>
                <c:order val="2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Type'!$C$25:$J$25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-554.69090909090801</c:v>
                      </c:pt>
                      <c:pt idx="1">
                        <c:v>30322.395454545469</c:v>
                      </c:pt>
                      <c:pt idx="2">
                        <c:v>2517.6890909090889</c:v>
                      </c:pt>
                      <c:pt idx="3">
                        <c:v>13433.036363636351</c:v>
                      </c:pt>
                      <c:pt idx="4">
                        <c:v>6021.6999999999935</c:v>
                      </c:pt>
                      <c:pt idx="5">
                        <c:v>3798.6745454545458</c:v>
                      </c:pt>
                      <c:pt idx="6">
                        <c:v>-2049.5163636363641</c:v>
                      </c:pt>
                      <c:pt idx="7">
                        <c:v>-2135.619999999999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11-445C-BD08-BBE477D9EA58}"/>
                  </c:ext>
                </c:extLst>
              </c15:ser>
            </c15:filteredPieSeries>
            <c15:filteredPieSeries>
              <c15:ser>
                <c:idx val="22"/>
                <c:order val="22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Type'!$C$26:$J$26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-0.17889740139034224</c:v>
                      </c:pt>
                      <c:pt idx="1">
                        <c:v>0.68075740728494949</c:v>
                      </c:pt>
                      <c:pt idx="2">
                        <c:v>0.47802930530647314</c:v>
                      </c:pt>
                      <c:pt idx="3">
                        <c:v>0.40121567507274153</c:v>
                      </c:pt>
                      <c:pt idx="4">
                        <c:v>0.21963620712923126</c:v>
                      </c:pt>
                      <c:pt idx="5">
                        <c:v>0.4819335276349222</c:v>
                      </c:pt>
                      <c:pt idx="6">
                        <c:v>-1.2829012359729597</c:v>
                      </c:pt>
                      <c:pt idx="7">
                        <c:v>-1.256173166284335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11-445C-BD08-BBE477D9EA58}"/>
                  </c:ext>
                </c:extLst>
              </c15:ser>
            </c15:filteredPieSeries>
            <c15:filteredPieSeries>
              <c15:ser>
                <c:idx val="23"/>
                <c:order val="23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Type'!$C$27:$J$27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-1.0801342378708152E-2</c:v>
                      </c:pt>
                      <c:pt idx="1">
                        <c:v>0.59045960494270855</c:v>
                      </c:pt>
                      <c:pt idx="2">
                        <c:v>4.9026262064790146E-2</c:v>
                      </c:pt>
                      <c:pt idx="3">
                        <c:v>0.26157779507702994</c:v>
                      </c:pt>
                      <c:pt idx="4">
                        <c:v>0.11725889560451952</c:v>
                      </c:pt>
                      <c:pt idx="5">
                        <c:v>7.3970536885099011E-2</c:v>
                      </c:pt>
                      <c:pt idx="6">
                        <c:v>-3.9909664268128787E-2</c:v>
                      </c:pt>
                      <c:pt idx="7">
                        <c:v>-4.1586336521401618E-2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11-445C-BD08-BBE477D9EA58}"/>
                  </c:ext>
                </c:extLst>
              </c15:ser>
            </c15:filteredPieSeries>
            <c15:filteredPieSeries>
              <c15:ser>
                <c:idx val="24"/>
                <c:order val="24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Type'!$C$28:$J$28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-12.717272727272743</c:v>
                      </c:pt>
                      <c:pt idx="1">
                        <c:v>2104.2190909090905</c:v>
                      </c:pt>
                      <c:pt idx="2">
                        <c:v>164.76454545454538</c:v>
                      </c:pt>
                      <c:pt idx="3">
                        <c:v>740.85818181818172</c:v>
                      </c:pt>
                      <c:pt idx="4">
                        <c:v>363.24999999999943</c:v>
                      </c:pt>
                      <c:pt idx="5">
                        <c:v>188.94727272727266</c:v>
                      </c:pt>
                      <c:pt idx="6">
                        <c:v>-13.164545454545456</c:v>
                      </c:pt>
                      <c:pt idx="7">
                        <c:v>-9.0554545454545483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11-445C-BD08-BBE477D9EA58}"/>
                  </c:ext>
                </c:extLst>
              </c15:ser>
            </c15:filteredPieSeries>
            <c15:filteredPieSeries>
              <c15:ser>
                <c:idx val="25"/>
                <c:order val="25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Type'!$C$29:$J$29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-0.18545671483494655</c:v>
                      </c:pt>
                      <c:pt idx="1">
                        <c:v>0.81331620946404148</c:v>
                      </c:pt>
                      <c:pt idx="2">
                        <c:v>0.59685503523677785</c:v>
                      </c:pt>
                      <c:pt idx="3">
                        <c:v>0.57987448234641159</c:v>
                      </c:pt>
                      <c:pt idx="4">
                        <c:v>0.31452939648454381</c:v>
                      </c:pt>
                      <c:pt idx="5">
                        <c:v>0.57027382977555829</c:v>
                      </c:pt>
                      <c:pt idx="6">
                        <c:v>-0.83608545034642046</c:v>
                      </c:pt>
                      <c:pt idx="7">
                        <c:v>-1.1384000000000005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11-445C-BD08-BBE477D9EA58}"/>
                  </c:ext>
                </c:extLst>
              </c15:ser>
            </c15:filteredPieSeries>
            <c15:filteredPieSeries>
              <c15:ser>
                <c:idx val="26"/>
                <c:order val="26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Type'!$C$30:$J$30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-3.6055870748376521E-3</c:v>
                      </c:pt>
                      <c:pt idx="1">
                        <c:v>0.59658586550069959</c:v>
                      </c:pt>
                      <c:pt idx="2">
                        <c:v>4.6713861393283998E-2</c:v>
                      </c:pt>
                      <c:pt idx="3">
                        <c:v>0.21004729095121108</c:v>
                      </c:pt>
                      <c:pt idx="4">
                        <c:v>0.1029882375743978</c:v>
                      </c:pt>
                      <c:pt idx="5">
                        <c:v>5.3570121438873838E-2</c:v>
                      </c:pt>
                      <c:pt idx="6">
                        <c:v>-3.7323973429640419E-3</c:v>
                      </c:pt>
                      <c:pt idx="7">
                        <c:v>-2.5673924406646523E-3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11-445C-BD08-BBE477D9EA58}"/>
                  </c:ext>
                </c:extLst>
              </c15:ser>
            </c15:filteredPieSeries>
            <c15:filteredPieSeries>
              <c15:ser>
                <c:idx val="27"/>
                <c:order val="27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Type'!$C$31:$J$31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93.557272727272903</c:v>
                      </c:pt>
                      <c:pt idx="1">
                        <c:v>0</c:v>
                      </c:pt>
                      <c:pt idx="2">
                        <c:v>117.92636363636367</c:v>
                      </c:pt>
                      <c:pt idx="3">
                        <c:v>1199.7545454545457</c:v>
                      </c:pt>
                      <c:pt idx="4">
                        <c:v>-32.85727272727263</c:v>
                      </c:pt>
                      <c:pt idx="5">
                        <c:v>89.61272727272717</c:v>
                      </c:pt>
                      <c:pt idx="6">
                        <c:v>-61.268181818182484</c:v>
                      </c:pt>
                      <c:pt idx="7">
                        <c:v>420.56181818181744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11-445C-BD08-BBE477D9EA58}"/>
                  </c:ext>
                </c:extLst>
              </c15:ser>
            </c15:filteredPieSeries>
            <c15:filteredPieSeries>
              <c15:ser>
                <c:idx val="28"/>
                <c:order val="28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Type'!$C$32:$J$32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4.183897485100059E-2</c:v>
                      </c:pt>
                      <c:pt idx="1">
                        <c:v>0</c:v>
                      </c:pt>
                      <c:pt idx="2">
                        <c:v>0.31951279588167203</c:v>
                      </c:pt>
                      <c:pt idx="3">
                        <c:v>0.28656080566116809</c:v>
                      </c:pt>
                      <c:pt idx="4">
                        <c:v>-2.5955662159153667E-2</c:v>
                      </c:pt>
                      <c:pt idx="5">
                        <c:v>0.12576743473933999</c:v>
                      </c:pt>
                      <c:pt idx="6">
                        <c:v>-4.1408357244235736E-2</c:v>
                      </c:pt>
                      <c:pt idx="7">
                        <c:v>0.23794896589325085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11-445C-BD08-BBE477D9EA58}"/>
                  </c:ext>
                </c:extLst>
              </c15:ser>
            </c15:filteredPieSeries>
            <c15:filteredPieSeries>
              <c15:ser>
                <c:idx val="29"/>
                <c:order val="29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Type'!$C$33:$J$33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5.1200089949532859E-2</c:v>
                      </c:pt>
                      <c:pt idx="1">
                        <c:v>0</c:v>
                      </c:pt>
                      <c:pt idx="2">
                        <c:v>6.4536302198589524E-2</c:v>
                      </c:pt>
                      <c:pt idx="3">
                        <c:v>0.65657686306974716</c:v>
                      </c:pt>
                      <c:pt idx="4">
                        <c:v>-1.7981448903889276E-2</c:v>
                      </c:pt>
                      <c:pt idx="5">
                        <c:v>4.9041400665467312E-2</c:v>
                      </c:pt>
                      <c:pt idx="6">
                        <c:v>-3.3529583844109083E-2</c:v>
                      </c:pt>
                      <c:pt idx="7">
                        <c:v>0.23015637686466148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11-445C-BD08-BBE477D9EA58}"/>
                  </c:ext>
                </c:extLst>
              </c15:ser>
            </c15:filteredPieSeries>
            <c15:filteredPieSeries>
              <c15:ser>
                <c:idx val="30"/>
                <c:order val="3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Type'!$C$34:$J$34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-11488.628181818189</c:v>
                      </c:pt>
                      <c:pt idx="1">
                        <c:v>530907.83636363631</c:v>
                      </c:pt>
                      <c:pt idx="2">
                        <c:v>48648.735454545444</c:v>
                      </c:pt>
                      <c:pt idx="3">
                        <c:v>252905.2972727273</c:v>
                      </c:pt>
                      <c:pt idx="4">
                        <c:v>177445.73545454562</c:v>
                      </c:pt>
                      <c:pt idx="5">
                        <c:v>75907.180909090879</c:v>
                      </c:pt>
                      <c:pt idx="6">
                        <c:v>-53323.598181818212</c:v>
                      </c:pt>
                      <c:pt idx="7">
                        <c:v>-50882.524545454551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11-445C-BD08-BBE477D9EA58}"/>
                  </c:ext>
                </c:extLst>
              </c15:ser>
            </c15:filteredPieSeries>
            <c15:filteredPieSeries>
              <c15:ser>
                <c:idx val="31"/>
                <c:order val="3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A328-40BF-8338-73B2A57B93C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A328-40BF-8338-73B2A57B93C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A328-40BF-8338-73B2A57B93C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A328-40BF-8338-73B2A57B93C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A328-40BF-8338-73B2A57B93C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A328-40BF-8338-73B2A57B93C3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A328-40BF-8338-73B2A57B93C3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A328-40BF-8338-73B2A57B93C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Type'!$C$35:$J$35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-9.5384230218711827E-2</c:v>
                      </c:pt>
                      <c:pt idx="1">
                        <c:v>0.79956536947694978</c:v>
                      </c:pt>
                      <c:pt idx="2">
                        <c:v>0.58011508073907181</c:v>
                      </c:pt>
                      <c:pt idx="3">
                        <c:v>0.53966633648627116</c:v>
                      </c:pt>
                      <c:pt idx="4">
                        <c:v>0.32162661277307963</c:v>
                      </c:pt>
                      <c:pt idx="5">
                        <c:v>0.61598799066153453</c:v>
                      </c:pt>
                      <c:pt idx="6">
                        <c:v>-1.0117233806653352</c:v>
                      </c:pt>
                      <c:pt idx="7">
                        <c:v>-1.0440994277772859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111-445C-BD08-BBE477D9EA58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rgbClr val="002060"/>
                </a:solidFill>
              </a:rPr>
              <a:t>GP</a:t>
            </a:r>
            <a:r>
              <a:rPr lang="en-AU" b="1" baseline="0">
                <a:solidFill>
                  <a:srgbClr val="002060"/>
                </a:solidFill>
              </a:rPr>
              <a:t> of Each Card</a:t>
            </a:r>
            <a:endParaRPr lang="en-AU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 by Card Type'!$C$2</c:f>
              <c:strCache>
                <c:ptCount val="1"/>
                <c:pt idx="0">
                  <c:v>Amex/JCB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71A7D0D-4EEC-4018-A2C0-2F665505B711}" type="CELLRANGE">
                      <a:rPr lang="en-AU"/>
                      <a:pPr/>
                      <a:t>[CELLRANGE]</a:t>
                    </a:fld>
                    <a:r>
                      <a:rPr lang="en-AU" baseline="0"/>
                      <a:t>, </a:t>
                    </a:r>
                    <a:fld id="{AB6A094A-0ABF-4A5D-A999-94A77FC3DD6E}" type="SERIESNAME">
                      <a:rPr lang="en-AU" baseline="0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F4FA1372-C280-4004-996A-9A45C7B176F0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771-4682-9696-28B3B76B418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9DA37F2-7F45-4857-9D19-698030D3A635}" type="CELLRANGE">
                      <a:rPr lang="en-AU"/>
                      <a:pPr/>
                      <a:t>[CELLRANGE]</a:t>
                    </a:fld>
                    <a:r>
                      <a:rPr lang="en-AU" baseline="0"/>
                      <a:t>, </a:t>
                    </a:r>
                    <a:fld id="{6958DE87-F287-4FC2-A29F-D374D392D7F9}" type="SERIESNAME">
                      <a:rPr lang="en-AU" baseline="0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584F0FC0-12AA-4EC1-A1FB-B2323AE0B87D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771-4682-9696-28B3B76B41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78BDA00-E564-4A3B-AAA3-BC9A3E04C6B2}" type="CELLRANGE">
                      <a:rPr lang="en-AU"/>
                      <a:pPr/>
                      <a:t>[CELLRANGE]</a:t>
                    </a:fld>
                    <a:r>
                      <a:rPr lang="en-AU" baseline="0"/>
                      <a:t>, </a:t>
                    </a:r>
                    <a:fld id="{85886631-2907-4A46-8A1A-5FF057F154A1}" type="SERIESNAME">
                      <a:rPr lang="en-AU" baseline="0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3087A778-A3D5-434C-A5A1-D6B8EF83DB62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771-4682-9696-28B3B76B418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AAA2DB0-36BB-4D16-81E7-424A03ECE106}" type="CELLRANGE">
                      <a:rPr lang="en-AU"/>
                      <a:pPr/>
                      <a:t>[CELLRANGE]</a:t>
                    </a:fld>
                    <a:r>
                      <a:rPr lang="en-AU" baseline="0"/>
                      <a:t>, </a:t>
                    </a:r>
                    <a:fld id="{FA12EDC5-BE84-4A92-833A-539B1F77B429}" type="SERIESNAME">
                      <a:rPr lang="en-AU" baseline="0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60AA2FCE-EE74-4478-A93E-006F3C0044ED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771-4682-9696-28B3B76B41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AE3592C-8534-4805-8EA3-FD297E61BD7A}" type="CELLRANGE">
                      <a:rPr lang="en-AU"/>
                      <a:pPr/>
                      <a:t>[CELLRANGE]</a:t>
                    </a:fld>
                    <a:r>
                      <a:rPr lang="en-AU" baseline="0"/>
                      <a:t>, </a:t>
                    </a:r>
                    <a:fld id="{3C8ABFEA-8D8F-407D-91FF-458A25FD21C4}" type="SERIESNAME">
                      <a:rPr lang="en-AU" baseline="0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23F51B80-A56E-4A73-945C-633C370C7648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771-4682-9696-28B3B76B418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7C9935A-4BAD-4237-BAC1-DCE75DD755E9}" type="CELLRANGE">
                      <a:rPr lang="en-AU"/>
                      <a:pPr/>
                      <a:t>[CELLRANGE]</a:t>
                    </a:fld>
                    <a:r>
                      <a:rPr lang="en-AU" baseline="0"/>
                      <a:t>, </a:t>
                    </a:r>
                    <a:fld id="{A7E27DDF-74AA-4049-888D-636238F50E05}" type="SERIESNAME">
                      <a:rPr lang="en-AU" baseline="0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66DB8654-2E4A-4A8E-B3BF-D35578E064F9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771-4682-9696-28B3B76B418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D399391-A8FB-45C8-B104-B2DFDE7105E4}" type="CELLRANGE">
                      <a:rPr lang="en-AU"/>
                      <a:pPr/>
                      <a:t>[CELLRANGE]</a:t>
                    </a:fld>
                    <a:r>
                      <a:rPr lang="en-AU" baseline="0"/>
                      <a:t>, </a:t>
                    </a:r>
                    <a:fld id="{2519E099-E710-435D-808F-E55B9B40157A}" type="SERIESNAME">
                      <a:rPr lang="en-AU" baseline="0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D1DE19F2-ECCD-4574-BC22-96A76DF300E9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771-4682-9696-28B3B76B418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C48A869-380F-44F4-9712-E9DDCDBA8422}" type="CELLRANGE">
                      <a:rPr lang="en-AU"/>
                      <a:pPr/>
                      <a:t>[CELLRANGE]</a:t>
                    </a:fld>
                    <a:r>
                      <a:rPr lang="en-AU" baseline="0"/>
                      <a:t>, </a:t>
                    </a:r>
                    <a:fld id="{5815E5F3-06F6-47C1-B78A-8C85B5E78D98}" type="SERIESNAME">
                      <a:rPr lang="en-AU" baseline="0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628AFF5E-076E-4AF4-9D9D-0C894240E0FD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771-4682-9696-28B3B76B418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2F2D900-0F33-44B4-97AC-888C36EFEDA3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91C2DA83-85AB-4CFC-8C21-53B7806D7E45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771-4682-9696-28B3B76B418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F2F8EC7-DA5B-4889-9849-B2EC84DE501C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62E04A34-251F-4D7E-8C21-405C7AC39ABB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771-4682-9696-28B3B76B418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B5CE6F3-326C-4DE0-A4A6-A33DC3E1AACC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E5C64298-0274-4365-AB8F-9C9AE49D9501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771-4682-9696-28B3B76B418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59DC04A-C458-446B-A002-6ACCDA1D4D96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EC5FC139-3553-49C7-A96A-2E4EFF0D7E4C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771-4682-9696-28B3B76B418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ABBD9BB-6EFE-4888-9D98-E10581698975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12FA4B18-066D-4457-A7AD-BAFB6A8C28D5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771-4682-9696-28B3B76B418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168A503-7115-45C3-B103-9AF1B4BDC560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E353F271-F561-4CC6-89B7-56B562EBFED5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771-4682-9696-28B3B76B418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E113406-FA16-4F60-8E05-220596BB5BF6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AFA4EE72-DEC8-4720-B7EE-3AD9FE8AFB46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771-4682-9696-28B3B76B418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5EA41C5-F3AE-4270-ADCA-096840FF338B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791E62AD-F7D6-48C7-95ED-456F1657FCEC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771-4682-9696-28B3B76B418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44E7A77-1829-490E-A4D6-D548AEC4688D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4840FCAE-09BA-4211-B5A6-860D38DC2A4B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771-4682-9696-28B3B76B418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D576BFA-831A-402E-A74E-01A6A9DF6A14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9E8A88D8-59BA-4556-951A-2FE57294102C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771-4682-9696-28B3B76B418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95BEAC1-C3F3-475E-B6DD-3E646C970DA9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B0CBC952-0944-4D61-B92C-1B902AEC419D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771-4682-9696-28B3B76B418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E64485B-E9E0-45E8-91BE-2150CB4FD64C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DFDF0752-3C44-4593-879C-93B9F88FE79B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771-4682-9696-28B3B76B418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FB2D3C8-F0A2-4A1B-B7F7-9596A84BDC05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7FFAA634-76D7-4259-9A7E-5439A81FD3C8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771-4682-9696-28B3B76B418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A089E9A-1952-4DD7-96C6-41FD57C4F412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2BE95B6F-96B1-413C-8D6E-833F84CFC53F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771-4682-9696-28B3B76B418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4E1706B-F54E-4D82-B569-6FBD3082596B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BBE39434-2C5A-43FD-B301-8E612A4D582E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771-4682-9696-28B3B76B418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0FC531E-9CD6-4A17-97CC-FD1D7CA38A6A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3BA633B4-45FE-432A-9B5A-79EDFFC7F714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771-4682-9696-28B3B76B418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E4C4921-7FAE-478B-B014-43493766DCA5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135D888B-BA3B-4D96-A915-6F68FC7F7EDA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771-4682-9696-28B3B76B418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187D83E-5D5F-4DF3-8246-9EE9A99E4281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350196F4-20DC-48E1-B41C-21FA105F6BF7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771-4682-9696-28B3B76B418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2B5CD53-6C32-4FD2-850E-A8480136BFE9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2634E443-03DF-4E43-98DD-BC8926053995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771-4682-9696-28B3B76B418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8823977-86CF-4FB5-8F00-A9CDACB14355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BC7371FD-2554-4FA5-8403-5103404A0B99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771-4682-9696-28B3B76B418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8203C99-4DAB-4A35-88EA-AE3E7B84270E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300B1290-F485-430B-B949-2A52C0827862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771-4682-9696-28B3B76B418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945D421-B237-4C5F-B0C7-2598CDA0CB3D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5CE4A4CA-5568-45B2-B401-10B7B170C7A1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771-4682-9696-28B3B76B418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393EEC0-D451-4ED0-BB8E-023D94BFB186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AAD650A8-06D4-4276-B79B-5DE37643C384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771-4682-9696-28B3B76B4181}"/>
                </c:ext>
              </c:extLst>
            </c:dLbl>
            <c:dLbl>
              <c:idx val="31"/>
              <c:layout>
                <c:manualLayout>
                  <c:x val="-2.1899810264872168E-2"/>
                  <c:y val="8.1906438517686947E-2"/>
                </c:manualLayout>
              </c:layout>
              <c:tx>
                <c:rich>
                  <a:bodyPr/>
                  <a:lstStyle/>
                  <a:p>
                    <a:fld id="{B356A257-5FE6-4EA6-95A4-B8EFE2015995}" type="SERIESNAME">
                      <a:rPr lang="en-US" baseline="0"/>
                      <a:pPr/>
                      <a:t>[SERIES NAME]</a:t>
                    </a:fld>
                    <a:r>
                      <a:rPr lang="en-US" baseline="0"/>
                      <a:t>, </a:t>
                    </a:r>
                    <a:fld id="{C845BEA7-C17F-4EFE-80F7-08DC9884111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E5C2-4381-8F0B-F3921E6A7B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 by Card Type'!$C$4:$C$35</c:f>
              <c:numCache>
                <c:formatCode>0.00%</c:formatCode>
                <c:ptCount val="32"/>
                <c:pt idx="0" formatCode="_-&quot;$&quot;* #,##0_-;\-&quot;$&quot;* #,##0_-;_-&quot;$&quot;* &quot;-&quot;??_-;_-@_-">
                  <c:v>-4670.9136363636208</c:v>
                </c:pt>
                <c:pt idx="1">
                  <c:v>-8.511398023098006E-2</c:v>
                </c:pt>
                <c:pt idx="2">
                  <c:v>-1.071099822635169E-2</c:v>
                </c:pt>
                <c:pt idx="3" formatCode="_-&quot;$&quot;* #,##0_-;\-&quot;$&quot;* #,##0_-;_-&quot;$&quot;* &quot;-&quot;??_-;_-@_-">
                  <c:v>-73.520909090909015</c:v>
                </c:pt>
                <c:pt idx="4">
                  <c:v>-0.17181431909921371</c:v>
                </c:pt>
                <c:pt idx="5">
                  <c:v>-3.729574511777974E-3</c:v>
                </c:pt>
                <c:pt idx="6" formatCode="_-&quot;$&quot;* #,##0_-;\-&quot;$&quot;* #,##0_-;_-&quot;$&quot;* &quot;-&quot;??_-;_-@_-">
                  <c:v>-5436.7718181818418</c:v>
                </c:pt>
                <c:pt idx="7">
                  <c:v>-0.10283376896844029</c:v>
                </c:pt>
                <c:pt idx="8">
                  <c:v>-1.6099980002795607E-2</c:v>
                </c:pt>
                <c:pt idx="9" formatCode="_-&quot;$&quot;* #,##0_-;\-&quot;$&quot;* #,##0_-;_-&quot;$&quot;* &quot;-&quot;??_-;_-@_-">
                  <c:v>-204.73545454545456</c:v>
                </c:pt>
                <c:pt idx="10">
                  <c:v>-6.1170670759034672E-2</c:v>
                </c:pt>
                <c:pt idx="11">
                  <c:v>-3.951140174184283E-3</c:v>
                </c:pt>
                <c:pt idx="12" formatCode="_-&quot;$&quot;* #,##0_-;\-&quot;$&quot;* #,##0_-;_-&quot;$&quot;* &quot;-&quot;??_-;_-@_-">
                  <c:v>-49.890909090909133</c:v>
                </c:pt>
                <c:pt idx="13">
                  <c:v>-0.3722949596363887</c:v>
                </c:pt>
                <c:pt idx="14">
                  <c:v>-1.9182546678811908E-2</c:v>
                </c:pt>
                <c:pt idx="15" formatCode="_-&quot;$&quot;* #,##0_-;\-&quot;$&quot;* #,##0_-;_-&quot;$&quot;* &quot;-&quot;??_-;_-@_-">
                  <c:v>-351.59181818181787</c:v>
                </c:pt>
                <c:pt idx="16">
                  <c:v>-0.1513317551307885</c:v>
                </c:pt>
                <c:pt idx="17">
                  <c:v>-7.0660694143651285E-3</c:v>
                </c:pt>
                <c:pt idx="18" formatCode="_-&quot;$&quot;* #,##0_-;\-&quot;$&quot;* #,##0_-;_-&quot;$&quot;* &quot;-&quot;??_-;_-@_-">
                  <c:v>-227.35272727272741</c:v>
                </c:pt>
                <c:pt idx="19">
                  <c:v>-0.21439728411360789</c:v>
                </c:pt>
                <c:pt idx="20">
                  <c:v>-1.4434941322120535E-2</c:v>
                </c:pt>
                <c:pt idx="21" formatCode="_-&quot;$&quot;* #,##0_-;\-&quot;$&quot;* #,##0_-;_-&quot;$&quot;* &quot;-&quot;??_-;_-@_-">
                  <c:v>-554.69090909090801</c:v>
                </c:pt>
                <c:pt idx="22">
                  <c:v>-0.17889740139034224</c:v>
                </c:pt>
                <c:pt idx="23">
                  <c:v>-1.0801342378708152E-2</c:v>
                </c:pt>
                <c:pt idx="24" formatCode="_-&quot;$&quot;* #,##0_-;\-&quot;$&quot;* #,##0_-;_-&quot;$&quot;* &quot;-&quot;??_-;_-@_-">
                  <c:v>-12.717272727272743</c:v>
                </c:pt>
                <c:pt idx="25">
                  <c:v>-0.18545671483494655</c:v>
                </c:pt>
                <c:pt idx="26">
                  <c:v>-3.6055870748376521E-3</c:v>
                </c:pt>
                <c:pt idx="27" formatCode="_-&quot;$&quot;* #,##0_-;\-&quot;$&quot;* #,##0_-;_-&quot;$&quot;* &quot;-&quot;??_-;_-@_-">
                  <c:v>93.557272727272903</c:v>
                </c:pt>
                <c:pt idx="28">
                  <c:v>4.183897485100059E-2</c:v>
                </c:pt>
                <c:pt idx="29">
                  <c:v>5.1200089949532859E-2</c:v>
                </c:pt>
                <c:pt idx="30" formatCode="_-&quot;$&quot;* #,##0_-;\-&quot;$&quot;* #,##0_-;_-&quot;$&quot;* &quot;-&quot;??_-;_-@_-">
                  <c:v>-11488.628181818189</c:v>
                </c:pt>
                <c:pt idx="31">
                  <c:v>-9.5384230218711827E-2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'GP by Card Type'!$C$2:$J$2</c15:f>
                <c15:dlblRangeCache>
                  <c:ptCount val="8"/>
                  <c:pt idx="0">
                    <c:v>Amex/JCB</c:v>
                  </c:pt>
                  <c:pt idx="1">
                    <c:v>EFTPOS</c:v>
                  </c:pt>
                  <c:pt idx="2">
                    <c:v>VC/MC Domestic Credit</c:v>
                  </c:pt>
                  <c:pt idx="3">
                    <c:v>VC/MC Domestic Debit</c:v>
                  </c:pt>
                  <c:pt idx="4">
                    <c:v>VC/MC Premium Credit</c:v>
                  </c:pt>
                  <c:pt idx="5">
                    <c:v>VC/MC Premium Debit</c:v>
                  </c:pt>
                  <c:pt idx="6">
                    <c:v>VC/MC Int. Credit</c:v>
                  </c:pt>
                  <c:pt idx="7">
                    <c:v>VC/MC Int. Debit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4538-4F2C-B7E1-333D0D60C107}"/>
            </c:ext>
          </c:extLst>
        </c:ser>
        <c:ser>
          <c:idx val="1"/>
          <c:order val="1"/>
          <c:tx>
            <c:strRef>
              <c:f>'GP by Card Type'!$D$2</c:f>
              <c:strCache>
                <c:ptCount val="1"/>
                <c:pt idx="0">
                  <c:v>EFTPOS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31"/>
              <c:layout>
                <c:manualLayout>
                  <c:x val="-0.15110869082761799"/>
                  <c:y val="-2.8243599488857581E-2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E5C2-4381-8F0B-F3921E6A7B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 by Card Type'!$D$4:$D$35</c:f>
              <c:numCache>
                <c:formatCode>0.00%</c:formatCode>
                <c:ptCount val="32"/>
                <c:pt idx="0" formatCode="_-&quot;$&quot;* #,##0_-;\-&quot;$&quot;* #,##0_-;_-&quot;$&quot;* &quot;-&quot;??_-;_-@_-">
                  <c:v>248641.13545454535</c:v>
                </c:pt>
                <c:pt idx="1">
                  <c:v>0.79269002820878964</c:v>
                </c:pt>
                <c:pt idx="2">
                  <c:v>0.57016570379687948</c:v>
                </c:pt>
                <c:pt idx="3" formatCode="_-&quot;$&quot;* #,##0_-;\-&quot;$&quot;* #,##0_-;_-&quot;$&quot;* &quot;-&quot;??_-;_-@_-">
                  <c:v>11961.205454545448</c:v>
                </c:pt>
                <c:pt idx="4">
                  <c:v>0.8160442341208064</c:v>
                </c:pt>
                <c:pt idx="5">
                  <c:v>0.60676897966878529</c:v>
                </c:pt>
                <c:pt idx="6" formatCode="_-&quot;$&quot;* #,##0_-;\-&quot;$&quot;* #,##0_-;_-&quot;$&quot;* &quot;-&quot;??_-;_-@_-">
                  <c:v>172714.26363636358</c:v>
                </c:pt>
                <c:pt idx="7">
                  <c:v>0.8392202367671614</c:v>
                </c:pt>
                <c:pt idx="8">
                  <c:v>0.511460896968992</c:v>
                </c:pt>
                <c:pt idx="9" formatCode="_-&quot;$&quot;* #,##0_-;\-&quot;$&quot;* #,##0_-;_-&quot;$&quot;* &quot;-&quot;??_-;_-@_-">
                  <c:v>25541.329999999991</c:v>
                </c:pt>
                <c:pt idx="10">
                  <c:v>0.76299260347959086</c:v>
                </c:pt>
                <c:pt idx="11">
                  <c:v>0.49291596948438127</c:v>
                </c:pt>
                <c:pt idx="12" formatCode="_-&quot;$&quot;* #,##0_-;\-&quot;$&quot;* #,##0_-;_-&quot;$&quot;* &quot;-&quot;??_-;_-@_-">
                  <c:v>1730.1118181818183</c:v>
                </c:pt>
                <c:pt idx="13">
                  <c:v>0.80116989345086997</c:v>
                </c:pt>
                <c:pt idx="14">
                  <c:v>0.66521038234366847</c:v>
                </c:pt>
                <c:pt idx="15" formatCode="_-&quot;$&quot;* #,##0_-;\-&quot;$&quot;* #,##0_-;_-&quot;$&quot;* &quot;-&quot;??_-;_-@_-">
                  <c:v>29532.138181818173</c:v>
                </c:pt>
                <c:pt idx="16">
                  <c:v>0.80561196831054194</c:v>
                </c:pt>
                <c:pt idx="17">
                  <c:v>0.59351818659055877</c:v>
                </c:pt>
                <c:pt idx="18" formatCode="_-&quot;$&quot;* #,##0_-;\-&quot;$&quot;* #,##0_-;_-&quot;$&quot;* &quot;-&quot;??_-;_-@_-">
                  <c:v>8361.0372727272716</c:v>
                </c:pt>
                <c:pt idx="19">
                  <c:v>0.80047251262876817</c:v>
                </c:pt>
                <c:pt idx="20">
                  <c:v>0.53085390209153926</c:v>
                </c:pt>
                <c:pt idx="21" formatCode="_-&quot;$&quot;* #,##0_-;\-&quot;$&quot;* #,##0_-;_-&quot;$&quot;* &quot;-&quot;??_-;_-@_-">
                  <c:v>30322.395454545469</c:v>
                </c:pt>
                <c:pt idx="22">
                  <c:v>0.68075740728494949</c:v>
                </c:pt>
                <c:pt idx="23">
                  <c:v>0.59045960494270855</c:v>
                </c:pt>
                <c:pt idx="24" formatCode="_-&quot;$&quot;* #,##0_-;\-&quot;$&quot;* #,##0_-;_-&quot;$&quot;* &quot;-&quot;??_-;_-@_-">
                  <c:v>2104.2190909090905</c:v>
                </c:pt>
                <c:pt idx="25">
                  <c:v>0.81331620946404148</c:v>
                </c:pt>
                <c:pt idx="26">
                  <c:v>0.59658586550069959</c:v>
                </c:pt>
                <c:pt idx="27" formatCode="_-&quot;$&quot;* #,##0_-;\-&quot;$&quot;* #,##0_-;_-&quot;$&quot;* &quot;-&quot;??_-;_-@_-">
                  <c:v>0</c:v>
                </c:pt>
                <c:pt idx="28">
                  <c:v>0</c:v>
                </c:pt>
                <c:pt idx="29">
                  <c:v>0</c:v>
                </c:pt>
                <c:pt idx="30" formatCode="_-&quot;$&quot;* #,##0_-;\-&quot;$&quot;* #,##0_-;_-&quot;$&quot;* &quot;-&quot;??_-;_-@_-">
                  <c:v>530907.83636363631</c:v>
                </c:pt>
                <c:pt idx="31">
                  <c:v>0.79956536947694978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8-4F2C-B7E1-333D0D60C107}"/>
            </c:ext>
          </c:extLst>
        </c:ser>
        <c:ser>
          <c:idx val="2"/>
          <c:order val="2"/>
          <c:tx>
            <c:strRef>
              <c:f>'GP by Card Type'!$E$2</c:f>
              <c:strCache>
                <c:ptCount val="1"/>
                <c:pt idx="0">
                  <c:v>VC/MC Domestic Credit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31"/>
              <c:layout>
                <c:manualLayout>
                  <c:x val="-3.0659734370821038E-2"/>
                  <c:y val="-9.602823826211572E-2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E5C2-4381-8F0B-F3921E6A7B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 by Card Type'!$E$4:$E$35</c:f>
              <c:numCache>
                <c:formatCode>0.00%</c:formatCode>
                <c:ptCount val="32"/>
                <c:pt idx="0" formatCode="_-&quot;$&quot;* #,##0_-;\-&quot;$&quot;* #,##0_-;_-&quot;$&quot;* &quot;-&quot;??_-;_-@_-">
                  <c:v>20972.213636363631</c:v>
                </c:pt>
                <c:pt idx="1">
                  <c:v>0.56518269298142021</c:v>
                </c:pt>
                <c:pt idx="2">
                  <c:v>4.8091949573411542E-2</c:v>
                </c:pt>
                <c:pt idx="3" formatCode="_-&quot;$&quot;* #,##0_-;\-&quot;$&quot;* #,##0_-;_-&quot;$&quot;* &quot;-&quot;??_-;_-@_-">
                  <c:v>825.74454545454535</c:v>
                </c:pt>
                <c:pt idx="4">
                  <c:v>0.56007189586814565</c:v>
                </c:pt>
                <c:pt idx="5">
                  <c:v>4.1888434841834243E-2</c:v>
                </c:pt>
                <c:pt idx="6" formatCode="_-&quot;$&quot;* #,##0_-;\-&quot;$&quot;* #,##0_-;_-&quot;$&quot;* &quot;-&quot;??_-;_-@_-">
                  <c:v>18568.272727272717</c:v>
                </c:pt>
                <c:pt idx="7">
                  <c:v>0.62104834271362575</c:v>
                </c:pt>
                <c:pt idx="8">
                  <c:v>5.4986456962528886E-2</c:v>
                </c:pt>
                <c:pt idx="9" formatCode="_-&quot;$&quot;* #,##0_-;\-&quot;$&quot;* #,##0_-;_-&quot;$&quot;* &quot;-&quot;??_-;_-@_-">
                  <c:v>2374.7709090909125</c:v>
                </c:pt>
                <c:pt idx="10">
                  <c:v>0.58003423919922048</c:v>
                </c:pt>
                <c:pt idx="11">
                  <c:v>4.5830131201384308E-2</c:v>
                </c:pt>
                <c:pt idx="12" formatCode="_-&quot;$&quot;* #,##0_-;\-&quot;$&quot;* #,##0_-;_-&quot;$&quot;* &quot;-&quot;??_-;_-@_-">
                  <c:v>142.61363636363626</c:v>
                </c:pt>
                <c:pt idx="13">
                  <c:v>0.47119514612681324</c:v>
                </c:pt>
                <c:pt idx="14">
                  <c:v>5.4833491440207965E-2</c:v>
                </c:pt>
                <c:pt idx="15" formatCode="_-&quot;$&quot;* #,##0_-;\-&quot;$&quot;* #,##0_-;_-&quot;$&quot;* &quot;-&quot;??_-;_-@_-">
                  <c:v>2239.1727272727271</c:v>
                </c:pt>
                <c:pt idx="16">
                  <c:v>0.58293986921607743</c:v>
                </c:pt>
                <c:pt idx="17">
                  <c:v>4.5001473593678148E-2</c:v>
                </c:pt>
                <c:pt idx="18" formatCode="_-&quot;$&quot;* #,##0_-;\-&quot;$&quot;* #,##0_-;_-&quot;$&quot;* &quot;-&quot;??_-;_-@_-">
                  <c:v>725.56727272727255</c:v>
                </c:pt>
                <c:pt idx="19">
                  <c:v>0.58944771864521939</c:v>
                </c:pt>
                <c:pt idx="20">
                  <c:v>4.6067276749688593E-2</c:v>
                </c:pt>
                <c:pt idx="21" formatCode="_-&quot;$&quot;* #,##0_-;\-&quot;$&quot;* #,##0_-;_-&quot;$&quot;* &quot;-&quot;??_-;_-@_-">
                  <c:v>2517.6890909090889</c:v>
                </c:pt>
                <c:pt idx="22">
                  <c:v>0.47802930530647314</c:v>
                </c:pt>
                <c:pt idx="23">
                  <c:v>4.9026262064790146E-2</c:v>
                </c:pt>
                <c:pt idx="24" formatCode="_-&quot;$&quot;* #,##0_-;\-&quot;$&quot;* #,##0_-;_-&quot;$&quot;* &quot;-&quot;??_-;_-@_-">
                  <c:v>164.76454545454538</c:v>
                </c:pt>
                <c:pt idx="25">
                  <c:v>0.59685503523677785</c:v>
                </c:pt>
                <c:pt idx="26">
                  <c:v>4.6713861393283998E-2</c:v>
                </c:pt>
                <c:pt idx="27" formatCode="_-&quot;$&quot;* #,##0_-;\-&quot;$&quot;* #,##0_-;_-&quot;$&quot;* &quot;-&quot;??_-;_-@_-">
                  <c:v>117.92636363636367</c:v>
                </c:pt>
                <c:pt idx="28">
                  <c:v>0.31951279588167203</c:v>
                </c:pt>
                <c:pt idx="29">
                  <c:v>6.4536302198589524E-2</c:v>
                </c:pt>
                <c:pt idx="30" formatCode="_-&quot;$&quot;* #,##0_-;\-&quot;$&quot;* #,##0_-;_-&quot;$&quot;* &quot;-&quot;??_-;_-@_-">
                  <c:v>48648.735454545444</c:v>
                </c:pt>
                <c:pt idx="31">
                  <c:v>0.58011508073907181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8-4F2C-B7E1-333D0D60C107}"/>
            </c:ext>
          </c:extLst>
        </c:ser>
        <c:ser>
          <c:idx val="3"/>
          <c:order val="3"/>
          <c:tx>
            <c:strRef>
              <c:f>'GP by Card Type'!$F$2</c:f>
              <c:strCache>
                <c:ptCount val="1"/>
                <c:pt idx="0">
                  <c:v>VC/MC Domestic Debit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31"/>
              <c:layout>
                <c:manualLayout>
                  <c:x val="4.8179582582718775E-2"/>
                  <c:y val="-6.778463877325816E-2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E5C2-4381-8F0B-F3921E6A7B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 by Card Type'!$F$4:$F$35</c:f>
              <c:numCache>
                <c:formatCode>0.00%</c:formatCode>
                <c:ptCount val="32"/>
                <c:pt idx="0" formatCode="_-&quot;$&quot;* #,##0_-;\-&quot;$&quot;* #,##0_-;_-&quot;$&quot;* &quot;-&quot;??_-;_-@_-">
                  <c:v>112732.35181818179</c:v>
                </c:pt>
                <c:pt idx="1">
                  <c:v>0.52178322407025679</c:v>
                </c:pt>
                <c:pt idx="2">
                  <c:v>0.25850960098612291</c:v>
                </c:pt>
                <c:pt idx="3" formatCode="_-&quot;$&quot;* #,##0_-;\-&quot;$&quot;* #,##0_-;_-&quot;$&quot;* &quot;-&quot;??_-;_-@_-">
                  <c:v>4762.905454545451</c:v>
                </c:pt>
                <c:pt idx="4">
                  <c:v>0.55782533980396432</c:v>
                </c:pt>
                <c:pt idx="5">
                  <c:v>0.24161304593386074</c:v>
                </c:pt>
                <c:pt idx="6" formatCode="_-&quot;$&quot;* #,##0_-;\-&quot;$&quot;* #,##0_-;_-&quot;$&quot;* &quot;-&quot;??_-;_-@_-">
                  <c:v>89629.400000000023</c:v>
                </c:pt>
                <c:pt idx="7">
                  <c:v>0.59930567535508583</c:v>
                </c:pt>
                <c:pt idx="8">
                  <c:v>0.26542065694880418</c:v>
                </c:pt>
                <c:pt idx="9" formatCode="_-&quot;$&quot;* #,##0_-;\-&quot;$&quot;* #,##0_-;_-&quot;$&quot;* &quot;-&quot;??_-;_-@_-">
                  <c:v>15526.309090909093</c:v>
                </c:pt>
                <c:pt idx="10">
                  <c:v>0.54368949964728031</c:v>
                </c:pt>
                <c:pt idx="11">
                  <c:v>0.29963849564841066</c:v>
                </c:pt>
                <c:pt idx="12" formatCode="_-&quot;$&quot;* #,##0_-;\-&quot;$&quot;* #,##0_-;_-&quot;$&quot;* &quot;-&quot;??_-;_-@_-">
                  <c:v>543.27272727272737</c:v>
                </c:pt>
                <c:pt idx="13">
                  <c:v>0.49756048823539212</c:v>
                </c:pt>
                <c:pt idx="14">
                  <c:v>0.20888283336840358</c:v>
                </c:pt>
                <c:pt idx="15" formatCode="_-&quot;$&quot;* #,##0_-;\-&quot;$&quot;* #,##0_-;_-&quot;$&quot;* &quot;-&quot;??_-;_-@_-">
                  <c:v>10849.454545454555</c:v>
                </c:pt>
                <c:pt idx="16">
                  <c:v>0.55779953728587806</c:v>
                </c:pt>
                <c:pt idx="17">
                  <c:v>0.21804545772034031</c:v>
                </c:pt>
                <c:pt idx="18" formatCode="_-&quot;$&quot;* #,##0_-;\-&quot;$&quot;* #,##0_-;_-&quot;$&quot;* &quot;-&quot;??_-;_-@_-">
                  <c:v>3487.9545454545455</c:v>
                </c:pt>
                <c:pt idx="19">
                  <c:v>0.54143511527942811</c:v>
                </c:pt>
                <c:pt idx="20">
                  <c:v>0.22145509227810184</c:v>
                </c:pt>
                <c:pt idx="21" formatCode="_-&quot;$&quot;* #,##0_-;\-&quot;$&quot;* #,##0_-;_-&quot;$&quot;* &quot;-&quot;??_-;_-@_-">
                  <c:v>13433.036363636351</c:v>
                </c:pt>
                <c:pt idx="22">
                  <c:v>0.40121567507274153</c:v>
                </c:pt>
                <c:pt idx="23">
                  <c:v>0.26157779507702994</c:v>
                </c:pt>
                <c:pt idx="24" formatCode="_-&quot;$&quot;* #,##0_-;\-&quot;$&quot;* #,##0_-;_-&quot;$&quot;* &quot;-&quot;??_-;_-@_-">
                  <c:v>740.85818181818172</c:v>
                </c:pt>
                <c:pt idx="25">
                  <c:v>0.57987448234641159</c:v>
                </c:pt>
                <c:pt idx="26">
                  <c:v>0.21004729095121108</c:v>
                </c:pt>
                <c:pt idx="27" formatCode="_-&quot;$&quot;* #,##0_-;\-&quot;$&quot;* #,##0_-;_-&quot;$&quot;* &quot;-&quot;??_-;_-@_-">
                  <c:v>1199.7545454545457</c:v>
                </c:pt>
                <c:pt idx="28">
                  <c:v>0.28656080566116809</c:v>
                </c:pt>
                <c:pt idx="29">
                  <c:v>0.65657686306974716</c:v>
                </c:pt>
                <c:pt idx="30" formatCode="_-&quot;$&quot;* #,##0_-;\-&quot;$&quot;* #,##0_-;_-&quot;$&quot;* &quot;-&quot;??_-;_-@_-">
                  <c:v>252905.2972727273</c:v>
                </c:pt>
                <c:pt idx="31">
                  <c:v>0.53966633648627116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38-4F2C-B7E1-333D0D60C107}"/>
            </c:ext>
          </c:extLst>
        </c:ser>
        <c:ser>
          <c:idx val="4"/>
          <c:order val="4"/>
          <c:tx>
            <c:strRef>
              <c:f>'GP by Card Type'!$G$2</c:f>
              <c:strCache>
                <c:ptCount val="1"/>
                <c:pt idx="0">
                  <c:v>VC/MC Premium Credit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31"/>
              <c:layout>
                <c:manualLayout>
                  <c:x val="4.3799620529744341E-3"/>
                  <c:y val="0.27396291504191839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E5C2-4381-8F0B-F3921E6A7B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 by Card Type'!$G$4:$G$35</c:f>
              <c:numCache>
                <c:formatCode>0.00%</c:formatCode>
                <c:ptCount val="32"/>
                <c:pt idx="0" formatCode="_-&quot;$&quot;* #,##0_-;\-&quot;$&quot;* #,##0_-;_-&quot;$&quot;* &quot;-&quot;??_-;_-@_-">
                  <c:v>84411.636363636499</c:v>
                </c:pt>
                <c:pt idx="1">
                  <c:v>0.33266765980284924</c:v>
                </c:pt>
                <c:pt idx="2">
                  <c:v>0.1935666034018638</c:v>
                </c:pt>
                <c:pt idx="3" formatCode="_-&quot;$&quot;* #,##0_-;\-&quot;$&quot;* #,##0_-;_-&quot;$&quot;* &quot;-&quot;??_-;_-@_-">
                  <c:v>1488.0300000000016</c:v>
                </c:pt>
                <c:pt idx="4">
                  <c:v>0.29158763129017107</c:v>
                </c:pt>
                <c:pt idx="5">
                  <c:v>7.5484903946151233E-2</c:v>
                </c:pt>
                <c:pt idx="6" formatCode="_-&quot;$&quot;* #,##0_-;\-&quot;$&quot;* #,##0_-;_-&quot;$&quot;* &quot;-&quot;??_-;_-@_-">
                  <c:v>65245.400000000052</c:v>
                </c:pt>
                <c:pt idx="7">
                  <c:v>0.31746125969723998</c:v>
                </c:pt>
                <c:pt idx="8">
                  <c:v>0.19321201448283171</c:v>
                </c:pt>
                <c:pt idx="9" formatCode="_-&quot;$&quot;* #,##0_-;\-&quot;$&quot;* #,##0_-;_-&quot;$&quot;* &quot;-&quot;??_-;_-@_-">
                  <c:v>9882.4909090909059</c:v>
                </c:pt>
                <c:pt idx="10">
                  <c:v>0.36733117432546764</c:v>
                </c:pt>
                <c:pt idx="11">
                  <c:v>0.19071980931984084</c:v>
                </c:pt>
                <c:pt idx="12" formatCode="_-&quot;$&quot;* #,##0_-;\-&quot;$&quot;* #,##0_-;_-&quot;$&quot;* &quot;-&quot;??_-;_-@_-">
                  <c:v>186.77636363636316</c:v>
                </c:pt>
                <c:pt idx="13">
                  <c:v>0.10937072467008402</c:v>
                </c:pt>
                <c:pt idx="14">
                  <c:v>7.1813610520200577E-2</c:v>
                </c:pt>
                <c:pt idx="15" formatCode="_-&quot;$&quot;* #,##0_-;\-&quot;$&quot;* #,##0_-;_-&quot;$&quot;* &quot;-&quot;??_-;_-@_-">
                  <c:v>6449.8909090909037</c:v>
                </c:pt>
                <c:pt idx="16">
                  <c:v>0.31849911878175485</c:v>
                </c:pt>
                <c:pt idx="17">
                  <c:v>0.12962581755856059</c:v>
                </c:pt>
                <c:pt idx="18" formatCode="_-&quot;$&quot;* #,##0_-;\-&quot;$&quot;* #,##0_-;_-&quot;$&quot;* &quot;-&quot;??_-;_-@_-">
                  <c:v>3429.4181818181814</c:v>
                </c:pt>
                <c:pt idx="19">
                  <c:v>0.39661959273620373</c:v>
                </c:pt>
                <c:pt idx="20">
                  <c:v>0.21773853701862778</c:v>
                </c:pt>
                <c:pt idx="21" formatCode="_-&quot;$&quot;* #,##0_-;\-&quot;$&quot;* #,##0_-;_-&quot;$&quot;* &quot;-&quot;??_-;_-@_-">
                  <c:v>6021.6999999999935</c:v>
                </c:pt>
                <c:pt idx="22">
                  <c:v>0.21963620712923126</c:v>
                </c:pt>
                <c:pt idx="23">
                  <c:v>0.11725889560451952</c:v>
                </c:pt>
                <c:pt idx="24" formatCode="_-&quot;$&quot;* #,##0_-;\-&quot;$&quot;* #,##0_-;_-&quot;$&quot;* &quot;-&quot;??_-;_-@_-">
                  <c:v>363.24999999999943</c:v>
                </c:pt>
                <c:pt idx="25">
                  <c:v>0.31452939648454381</c:v>
                </c:pt>
                <c:pt idx="26">
                  <c:v>0.1029882375743978</c:v>
                </c:pt>
                <c:pt idx="27" formatCode="_-&quot;$&quot;* #,##0_-;\-&quot;$&quot;* #,##0_-;_-&quot;$&quot;* &quot;-&quot;??_-;_-@_-">
                  <c:v>-32.85727272727263</c:v>
                </c:pt>
                <c:pt idx="28">
                  <c:v>-2.5955662159153667E-2</c:v>
                </c:pt>
                <c:pt idx="29">
                  <c:v>-1.7981448903889276E-2</c:v>
                </c:pt>
                <c:pt idx="30" formatCode="_-&quot;$&quot;* #,##0_-;\-&quot;$&quot;* #,##0_-;_-&quot;$&quot;* &quot;-&quot;??_-;_-@_-">
                  <c:v>177445.73545454562</c:v>
                </c:pt>
                <c:pt idx="31">
                  <c:v>0.32162661277307963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38-4F2C-B7E1-333D0D60C107}"/>
            </c:ext>
          </c:extLst>
        </c:ser>
        <c:ser>
          <c:idx val="5"/>
          <c:order val="5"/>
          <c:tx>
            <c:strRef>
              <c:f>'GP by Card Type'!$H$2</c:f>
              <c:strCache>
                <c:ptCount val="1"/>
                <c:pt idx="0">
                  <c:v>VC/MC Premium Debit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31"/>
              <c:layout>
                <c:manualLayout>
                  <c:x val="0.12044895645679686"/>
                  <c:y val="-2.541923953997181E-2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E5C2-4381-8F0B-F3921E6A7B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 by Card Type'!$H$4:$H$35</c:f>
              <c:numCache>
                <c:formatCode>0.00%</c:formatCode>
                <c:ptCount val="32"/>
                <c:pt idx="0" formatCode="_-&quot;$&quot;* #,##0_-;\-&quot;$&quot;* #,##0_-;_-&quot;$&quot;* &quot;-&quot;??_-;_-@_-">
                  <c:v>31269.663636363621</c:v>
                </c:pt>
                <c:pt idx="1">
                  <c:v>0.60006266384493268</c:v>
                </c:pt>
                <c:pt idx="2">
                  <c:v>7.1705310314504639E-2</c:v>
                </c:pt>
                <c:pt idx="3" formatCode="_-&quot;$&quot;* #,##0_-;\-&quot;$&quot;* #,##0_-;_-&quot;$&quot;* &quot;-&quot;??_-;_-@_-">
                  <c:v>1184.5527272727272</c:v>
                </c:pt>
                <c:pt idx="4">
                  <c:v>0.62470718528710945</c:v>
                </c:pt>
                <c:pt idx="5">
                  <c:v>6.0090084768004141E-2</c:v>
                </c:pt>
                <c:pt idx="6" formatCode="_-&quot;$&quot;* #,##0_-;\-&quot;$&quot;* #,##0_-;_-&quot;$&quot;* &quot;-&quot;??_-;_-@_-">
                  <c:v>31234.909090909074</c:v>
                </c:pt>
                <c:pt idx="7">
                  <c:v>0.6616737118812166</c:v>
                </c:pt>
                <c:pt idx="8">
                  <c:v>9.249632476224609E-2</c:v>
                </c:pt>
                <c:pt idx="9" formatCode="_-&quot;$&quot;* #,##0_-;\-&quot;$&quot;* #,##0_-;_-&quot;$&quot;* &quot;-&quot;??_-;_-@_-">
                  <c:v>3497.6563636363644</c:v>
                </c:pt>
                <c:pt idx="10">
                  <c:v>0.61597583116396581</c:v>
                </c:pt>
                <c:pt idx="11">
                  <c:v>6.7500426853458098E-2</c:v>
                </c:pt>
                <c:pt idx="12" formatCode="_-&quot;$&quot;* #,##0_-;\-&quot;$&quot;* #,##0_-;_-&quot;$&quot;* &quot;-&quot;??_-;_-@_-">
                  <c:v>171.80000000000007</c:v>
                </c:pt>
                <c:pt idx="13">
                  <c:v>0.52845278375884353</c:v>
                </c:pt>
                <c:pt idx="14">
                  <c:v>6.6055351154553063E-2</c:v>
                </c:pt>
                <c:pt idx="15" formatCode="_-&quot;$&quot;* #,##0_-;\-&quot;$&quot;* #,##0_-;_-&quot;$&quot;* &quot;-&quot;??_-;_-@_-">
                  <c:v>3289.8818181818142</c:v>
                </c:pt>
                <c:pt idx="16">
                  <c:v>0.6248728711859195</c:v>
                </c:pt>
                <c:pt idx="17">
                  <c:v>6.6117958638926652E-2</c:v>
                </c:pt>
                <c:pt idx="18" formatCode="_-&quot;$&quot;* #,##0_-;\-&quot;$&quot;* #,##0_-;_-&quot;$&quot;* &quot;-&quot;??_-;_-@_-">
                  <c:v>1181.4827272727275</c:v>
                </c:pt>
                <c:pt idx="19">
                  <c:v>0.64867707173909794</c:v>
                </c:pt>
                <c:pt idx="20">
                  <c:v>7.5013983979274598E-2</c:v>
                </c:pt>
                <c:pt idx="21" formatCode="_-&quot;$&quot;* #,##0_-;\-&quot;$&quot;* #,##0_-;_-&quot;$&quot;* &quot;-&quot;??_-;_-@_-">
                  <c:v>3798.6745454545458</c:v>
                </c:pt>
                <c:pt idx="22">
                  <c:v>0.4819335276349222</c:v>
                </c:pt>
                <c:pt idx="23">
                  <c:v>7.3970536885099011E-2</c:v>
                </c:pt>
                <c:pt idx="24" formatCode="_-&quot;$&quot;* #,##0_-;\-&quot;$&quot;* #,##0_-;_-&quot;$&quot;* &quot;-&quot;??_-;_-@_-">
                  <c:v>188.94727272727266</c:v>
                </c:pt>
                <c:pt idx="25">
                  <c:v>0.57027382977555829</c:v>
                </c:pt>
                <c:pt idx="26">
                  <c:v>5.3570121438873838E-2</c:v>
                </c:pt>
                <c:pt idx="27" formatCode="_-&quot;$&quot;* #,##0_-;\-&quot;$&quot;* #,##0_-;_-&quot;$&quot;* &quot;-&quot;??_-;_-@_-">
                  <c:v>89.61272727272717</c:v>
                </c:pt>
                <c:pt idx="28">
                  <c:v>0.12576743473933999</c:v>
                </c:pt>
                <c:pt idx="29">
                  <c:v>4.9041400665467312E-2</c:v>
                </c:pt>
                <c:pt idx="30" formatCode="_-&quot;$&quot;* #,##0_-;\-&quot;$&quot;* #,##0_-;_-&quot;$&quot;* &quot;-&quot;??_-;_-@_-">
                  <c:v>75907.180909090879</c:v>
                </c:pt>
                <c:pt idx="31">
                  <c:v>0.61598799066153453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38-4F2C-B7E1-333D0D60C107}"/>
            </c:ext>
          </c:extLst>
        </c:ser>
        <c:ser>
          <c:idx val="6"/>
          <c:order val="6"/>
          <c:tx>
            <c:strRef>
              <c:f>'GP by Card Type'!$I$2</c:f>
              <c:strCache>
                <c:ptCount val="1"/>
                <c:pt idx="0">
                  <c:v>VC/MC Int. Credit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31"/>
              <c:layout>
                <c:manualLayout>
                  <c:x val="-0.12263893748328415"/>
                  <c:y val="-2.824359948885653E-3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E5C2-4381-8F0B-F3921E6A7B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 by Card Type'!$I$4:$I$35</c:f>
              <c:numCache>
                <c:formatCode>0.00%</c:formatCode>
                <c:ptCount val="32"/>
                <c:pt idx="0" formatCode="_-&quot;$&quot;* #,##0_-;\-&quot;$&quot;* #,##0_-;_-&quot;$&quot;* &quot;-&quot;??_-;_-@_-">
                  <c:v>-27962.221818181828</c:v>
                </c:pt>
                <c:pt idx="1">
                  <c:v>-1.0242827909454955</c:v>
                </c:pt>
                <c:pt idx="2">
                  <c:v>-6.4120926143384258E-2</c:v>
                </c:pt>
                <c:pt idx="3" formatCode="_-&quot;$&quot;* #,##0_-;\-&quot;$&quot;* #,##0_-;_-&quot;$&quot;* &quot;-&quot;??_-;_-@_-">
                  <c:v>-179.44545454545451</c:v>
                </c:pt>
                <c:pt idx="4">
                  <c:v>-1.2876899993476409</c:v>
                </c:pt>
                <c:pt idx="5">
                  <c:v>-9.1029232609134685E-3</c:v>
                </c:pt>
                <c:pt idx="6" formatCode="_-&quot;$&quot;* #,##0_-;\-&quot;$&quot;* #,##0_-;_-&quot;$&quot;* &quot;-&quot;??_-;_-@_-">
                  <c:v>-18840.245454545471</c:v>
                </c:pt>
                <c:pt idx="7">
                  <c:v>-1.0278503952589773</c:v>
                </c:pt>
                <c:pt idx="8">
                  <c:v>-5.5791853182350644E-2</c:v>
                </c:pt>
                <c:pt idx="9" formatCode="_-&quot;$&quot;* #,##0_-;\-&quot;$&quot;* #,##0_-;_-&quot;$&quot;* &quot;-&quot;??_-;_-@_-">
                  <c:v>-2478.3363636363683</c:v>
                </c:pt>
                <c:pt idx="10">
                  <c:v>-1.1312659761643971</c:v>
                </c:pt>
                <c:pt idx="11">
                  <c:v>-4.7828815938332776E-2</c:v>
                </c:pt>
                <c:pt idx="12" formatCode="_-&quot;$&quot;* #,##0_-;\-&quot;$&quot;* #,##0_-;_-&quot;$&quot;* &quot;-&quot;??_-;_-@_-">
                  <c:v>-66.892727272727271</c:v>
                </c:pt>
                <c:pt idx="13">
                  <c:v>-1.5766445253910437</c:v>
                </c:pt>
                <c:pt idx="14">
                  <c:v>-2.5719572698985723E-2</c:v>
                </c:pt>
                <c:pt idx="15" formatCode="_-&quot;$&quot;* #,##0_-;\-&quot;$&quot;* #,##0_-;_-&quot;$&quot;* &quot;-&quot;??_-;_-@_-">
                  <c:v>-1089.3818181818181</c:v>
                </c:pt>
                <c:pt idx="16">
                  <c:v>-1.0418543184545026</c:v>
                </c:pt>
                <c:pt idx="17">
                  <c:v>-2.1893704995260586E-2</c:v>
                </c:pt>
                <c:pt idx="18" formatCode="_-&quot;$&quot;* #,##0_-;\-&quot;$&quot;* #,##0_-;_-&quot;$&quot;* &quot;-&quot;??_-;_-@_-">
                  <c:v>-583.125454545455</c:v>
                </c:pt>
                <c:pt idx="19">
                  <c:v>-1.0310684605616385</c:v>
                </c:pt>
                <c:pt idx="20">
                  <c:v>-3.7023447313659009E-2</c:v>
                </c:pt>
                <c:pt idx="21" formatCode="_-&quot;$&quot;* #,##0_-;\-&quot;$&quot;* #,##0_-;_-&quot;$&quot;* &quot;-&quot;??_-;_-@_-">
                  <c:v>-2049.5163636363641</c:v>
                </c:pt>
                <c:pt idx="22">
                  <c:v>-1.2829012359729597</c:v>
                </c:pt>
                <c:pt idx="23">
                  <c:v>-3.9909664268128787E-2</c:v>
                </c:pt>
                <c:pt idx="24" formatCode="_-&quot;$&quot;* #,##0_-;\-&quot;$&quot;* #,##0_-;_-&quot;$&quot;* &quot;-&quot;??_-;_-@_-">
                  <c:v>-13.164545454545456</c:v>
                </c:pt>
                <c:pt idx="25">
                  <c:v>-0.83608545034642046</c:v>
                </c:pt>
                <c:pt idx="26">
                  <c:v>-3.7323973429640419E-3</c:v>
                </c:pt>
                <c:pt idx="27" formatCode="_-&quot;$&quot;* #,##0_-;\-&quot;$&quot;* #,##0_-;_-&quot;$&quot;* &quot;-&quot;??_-;_-@_-">
                  <c:v>-61.268181818182484</c:v>
                </c:pt>
                <c:pt idx="28">
                  <c:v>-4.1408357244235736E-2</c:v>
                </c:pt>
                <c:pt idx="29">
                  <c:v>-3.3529583844109083E-2</c:v>
                </c:pt>
                <c:pt idx="30" formatCode="_-&quot;$&quot;* #,##0_-;\-&quot;$&quot;* #,##0_-;_-&quot;$&quot;* &quot;-&quot;??_-;_-@_-">
                  <c:v>-53323.598181818212</c:v>
                </c:pt>
                <c:pt idx="31">
                  <c:v>-1.0117233806653352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38-4F2C-B7E1-333D0D60C107}"/>
            </c:ext>
          </c:extLst>
        </c:ser>
        <c:ser>
          <c:idx val="7"/>
          <c:order val="7"/>
          <c:tx>
            <c:strRef>
              <c:f>'GP by Card Type'!$J$2</c:f>
              <c:strCache>
                <c:ptCount val="1"/>
                <c:pt idx="0">
                  <c:v>VC/MC Int. Debit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31"/>
              <c:layout>
                <c:manualLayout>
                  <c:x val="3.7229677450282689E-2"/>
                  <c:y val="-1.4121799744428679E-2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E5C2-4381-8F0B-F3921E6A7B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 by Card Type'!$J$4:$J$35</c:f>
              <c:numCache>
                <c:formatCode>0.00%</c:formatCode>
                <c:ptCount val="32"/>
                <c:pt idx="0" formatCode="_-&quot;$&quot;* #,##0_-;\-&quot;$&quot;* #,##0_-;_-&quot;$&quot;* &quot;-&quot;??_-;_-@_-">
                  <c:v>-29308.448181818185</c:v>
                </c:pt>
                <c:pt idx="1">
                  <c:v>-1.1430537222212178</c:v>
                </c:pt>
                <c:pt idx="2">
                  <c:v>-6.7207994180977573E-2</c:v>
                </c:pt>
                <c:pt idx="3" formatCode="_-&quot;$&quot;* #,##0_-;\-&quot;$&quot;* #,##0_-;_-&quot;$&quot;* &quot;-&quot;??_-;_-@_-">
                  <c:v>-256.52363636363634</c:v>
                </c:pt>
                <c:pt idx="4">
                  <c:v>-1.1298790742372065</c:v>
                </c:pt>
                <c:pt idx="5">
                  <c:v>-1.3012951385944167E-2</c:v>
                </c:pt>
                <c:pt idx="6" formatCode="_-&quot;$&quot;* #,##0_-;\-&quot;$&quot;* #,##0_-;_-&quot;$&quot;* &quot;-&quot;??_-;_-@_-">
                  <c:v>-15427.145454545462</c:v>
                </c:pt>
                <c:pt idx="7">
                  <c:v>-1.0088472532019432</c:v>
                </c:pt>
                <c:pt idx="8">
                  <c:v>-4.5684597703322942E-2</c:v>
                </c:pt>
                <c:pt idx="9" formatCode="_-&quot;$&quot;* #,##0_-;\-&quot;$&quot;* #,##0_-;_-&quot;$&quot;* &quot;-&quot;??_-;_-@_-">
                  <c:v>-2322.7363636363648</c:v>
                </c:pt>
                <c:pt idx="10">
                  <c:v>-1.0067060941926496</c:v>
                </c:pt>
                <c:pt idx="11">
                  <c:v>-4.4825929054534183E-2</c:v>
                </c:pt>
                <c:pt idx="12" formatCode="_-&quot;$&quot;* #,##0_-;\-&quot;$&quot;* #,##0_-;_-&quot;$&quot;* &quot;-&quot;??_-;_-@_-">
                  <c:v>-56.941818181818192</c:v>
                </c:pt>
                <c:pt idx="13">
                  <c:v>-1.3114740368509219</c:v>
                </c:pt>
                <c:pt idx="14">
                  <c:v>-2.189354944923582E-2</c:v>
                </c:pt>
                <c:pt idx="15" formatCode="_-&quot;$&quot;* #,##0_-;\-&quot;$&quot;* #,##0_-;_-&quot;$&quot;* &quot;-&quot;??_-;_-@_-">
                  <c:v>-1161.8000000000004</c:v>
                </c:pt>
                <c:pt idx="16">
                  <c:v>-0.99965582515918161</c:v>
                </c:pt>
                <c:pt idx="17">
                  <c:v>-2.3349119692438695E-2</c:v>
                </c:pt>
                <c:pt idx="18" formatCode="_-&quot;$&quot;* #,##0_-;\-&quot;$&quot;* #,##0_-;_-&quot;$&quot;* &quot;-&quot;??_-;_-@_-">
                  <c:v>-624.8154545454546</c:v>
                </c:pt>
                <c:pt idx="19">
                  <c:v>-1.0668669088199685</c:v>
                </c:pt>
                <c:pt idx="20">
                  <c:v>-3.967040348145242E-2</c:v>
                </c:pt>
                <c:pt idx="21" formatCode="_-&quot;$&quot;* #,##0_-;\-&quot;$&quot;* #,##0_-;_-&quot;$&quot;* &quot;-&quot;??_-;_-@_-">
                  <c:v>-2135.619999999999</c:v>
                </c:pt>
                <c:pt idx="22">
                  <c:v>-1.256173166284335</c:v>
                </c:pt>
                <c:pt idx="23">
                  <c:v>-4.1586336521401618E-2</c:v>
                </c:pt>
                <c:pt idx="24" formatCode="_-&quot;$&quot;* #,##0_-;\-&quot;$&quot;* #,##0_-;_-&quot;$&quot;* &quot;-&quot;??_-;_-@_-">
                  <c:v>-9.0554545454545483</c:v>
                </c:pt>
                <c:pt idx="25">
                  <c:v>-1.1384000000000005</c:v>
                </c:pt>
                <c:pt idx="26">
                  <c:v>-2.5673924406646523E-3</c:v>
                </c:pt>
                <c:pt idx="27" formatCode="_-&quot;$&quot;* #,##0_-;\-&quot;$&quot;* #,##0_-;_-&quot;$&quot;* &quot;-&quot;??_-;_-@_-">
                  <c:v>420.56181818181744</c:v>
                </c:pt>
                <c:pt idx="28">
                  <c:v>0.23794896589325085</c:v>
                </c:pt>
                <c:pt idx="29">
                  <c:v>0.23015637686466148</c:v>
                </c:pt>
                <c:pt idx="30" formatCode="_-&quot;$&quot;* #,##0_-;\-&quot;$&quot;* #,##0_-;_-&quot;$&quot;* &quot;-&quot;??_-;_-@_-">
                  <c:v>-50882.524545454551</c:v>
                </c:pt>
                <c:pt idx="31">
                  <c:v>-1.0440994277772859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38-4F2C-B7E1-333D0D60C1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469216"/>
        <c:axId val="191470656"/>
      </c:barChart>
      <c:catAx>
        <c:axId val="1914692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Card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91470656"/>
        <c:crossesAt val="0"/>
        <c:auto val="1"/>
        <c:lblAlgn val="ctr"/>
        <c:lblOffset val="100"/>
        <c:noMultiLvlLbl val="0"/>
      </c:catAx>
      <c:valAx>
        <c:axId val="1914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COGS of Each Card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2"/>
          <c:order val="32"/>
          <c:tx>
            <c:strRef>
              <c:f>'COA by Card'!$A$36</c:f>
              <c:strCache>
                <c:ptCount val="1"/>
                <c:pt idx="0">
                  <c:v>COGS%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3BB5-4755-B35A-7D4145F522D9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3BB5-4755-B35A-7D4145F522D9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3BB5-4755-B35A-7D4145F522D9}"/>
              </c:ext>
            </c:extLst>
          </c:dPt>
          <c:cat>
            <c:multiLvlStrRef>
              <c:f>'COA by Card'!$B$2:$J$3</c:f>
              <c:multiLvlStrCache>
                <c:ptCount val="8"/>
                <c:lvl>
                  <c:pt idx="0">
                    <c:v>COA Ex GST)</c:v>
                  </c:pt>
                  <c:pt idx="1">
                    <c:v>COA Ex GST)</c:v>
                  </c:pt>
                  <c:pt idx="2">
                    <c:v>COA Ex GST)</c:v>
                  </c:pt>
                  <c:pt idx="3">
                    <c:v>COA Ex GST)</c:v>
                  </c:pt>
                  <c:pt idx="4">
                    <c:v>COA Ex GST)</c:v>
                  </c:pt>
                  <c:pt idx="5">
                    <c:v>COA Ex GST)</c:v>
                  </c:pt>
                  <c:pt idx="6">
                    <c:v>COA Ex GST)</c:v>
                  </c:pt>
                  <c:pt idx="7">
                    <c:v>COA Ex GST)</c:v>
                  </c:pt>
                </c:lvl>
                <c:lvl>
                  <c:pt idx="0">
                    <c:v>Amex/JCB</c:v>
                  </c:pt>
                  <c:pt idx="1">
                    <c:v>EFTPOS</c:v>
                  </c:pt>
                  <c:pt idx="2">
                    <c:v>VC/MC Domestic Credit</c:v>
                  </c:pt>
                  <c:pt idx="3">
                    <c:v>VC/MC Domestic Debit</c:v>
                  </c:pt>
                  <c:pt idx="4">
                    <c:v>VC/MC Premium Credit</c:v>
                  </c:pt>
                  <c:pt idx="5">
                    <c:v>VC/MC Premium Debit</c:v>
                  </c:pt>
                  <c:pt idx="6">
                    <c:v>VC/MC Int. Credit</c:v>
                  </c:pt>
                  <c:pt idx="7">
                    <c:v>VC/MC Int. Debit</c:v>
                  </c:pt>
                </c:lvl>
              </c:multiLvlStrCache>
            </c:multiLvlStrRef>
          </c:cat>
          <c:val>
            <c:numRef>
              <c:f>'COA by Card'!$B$36:$J$36</c:f>
              <c:numCache>
                <c:formatCode>0.00%</c:formatCode>
                <c:ptCount val="8"/>
                <c:pt idx="0">
                  <c:v>1.0953842302187118</c:v>
                </c:pt>
                <c:pt idx="1">
                  <c:v>0.20043463052305024</c:v>
                </c:pt>
                <c:pt idx="2">
                  <c:v>0.41988491926092864</c:v>
                </c:pt>
                <c:pt idx="3">
                  <c:v>0.46033366351372912</c:v>
                </c:pt>
                <c:pt idx="4">
                  <c:v>0.67837338722692042</c:v>
                </c:pt>
                <c:pt idx="5">
                  <c:v>0.38401200933846552</c:v>
                </c:pt>
                <c:pt idx="6">
                  <c:v>2.0117233806653352</c:v>
                </c:pt>
                <c:pt idx="7">
                  <c:v>2.0440994277772861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BB5-4755-B35A-7D4145F52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974404480"/>
        <c:axId val="706461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'COA by Card'!$A$4</c15:sqref>
                        </c15:formulaRef>
                      </c:ext>
                    </c:extLst>
                    <c:strCache>
                      <c:ptCount val="1"/>
                      <c:pt idx="0">
                        <c:v>Bepoz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'COA by Card'!$B$4:$J$4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59549.25</c:v>
                      </c:pt>
                      <c:pt idx="1">
                        <c:v>65026.41</c:v>
                      </c:pt>
                      <c:pt idx="2">
                        <c:v>16134.75</c:v>
                      </c:pt>
                      <c:pt idx="3">
                        <c:v>103319.73</c:v>
                      </c:pt>
                      <c:pt idx="4">
                        <c:v>169330</c:v>
                      </c:pt>
                      <c:pt idx="5">
                        <c:v>20841</c:v>
                      </c:pt>
                      <c:pt idx="6">
                        <c:v>55261.54</c:v>
                      </c:pt>
                      <c:pt idx="7">
                        <c:v>54948.93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BB5-4755-B35A-7D4145F522D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Card'!$A$5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Card'!$B$5:$J$5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0.10938277014334798</c:v>
                      </c:pt>
                      <c:pt idx="1">
                        <c:v>0.11944346668139573</c:v>
                      </c:pt>
                      <c:pt idx="2">
                        <c:v>2.9637042457636053E-2</c:v>
                      </c:pt>
                      <c:pt idx="3">
                        <c:v>0.18978237807970333</c:v>
                      </c:pt>
                      <c:pt idx="4">
                        <c:v>0.31103304354585681</c:v>
                      </c:pt>
                      <c:pt idx="5">
                        <c:v>3.8281696453901858E-2</c:v>
                      </c:pt>
                      <c:pt idx="6">
                        <c:v>0.10150690945036973</c:v>
                      </c:pt>
                      <c:pt idx="7">
                        <c:v>0.10093269318778855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BB5-4755-B35A-7D4145F522D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Card'!$A$6</c15:sqref>
                        </c15:formulaRef>
                      </c:ext>
                    </c:extLst>
                    <c:strCache>
                      <c:ptCount val="1"/>
                      <c:pt idx="0">
                        <c:v>COGS%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Card'!$B$6:$J$6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1.0851139802309802</c:v>
                      </c:pt>
                      <c:pt idx="1">
                        <c:v>0.20730997179121041</c:v>
                      </c:pt>
                      <c:pt idx="2">
                        <c:v>0.43481730701857979</c:v>
                      </c:pt>
                      <c:pt idx="3">
                        <c:v>0.47821677592974327</c:v>
                      </c:pt>
                      <c:pt idx="4">
                        <c:v>0.66733234019715082</c:v>
                      </c:pt>
                      <c:pt idx="5">
                        <c:v>0.39993733615506732</c:v>
                      </c:pt>
                      <c:pt idx="6">
                        <c:v>2.0242827909454957</c:v>
                      </c:pt>
                      <c:pt idx="7">
                        <c:v>2.143053722221218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B5-4755-B35A-7D4145F522D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Card'!$A$7</c15:sqref>
                        </c15:formulaRef>
                      </c:ext>
                    </c:extLst>
                    <c:strCache>
                      <c:ptCount val="1"/>
                      <c:pt idx="0">
                        <c:v>Deliverit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Card'!$B$7:$J$7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501.43</c:v>
                      </c:pt>
                      <c:pt idx="1">
                        <c:v>2696.34</c:v>
                      </c:pt>
                      <c:pt idx="2">
                        <c:v>648.61</c:v>
                      </c:pt>
                      <c:pt idx="3">
                        <c:v>3775.44</c:v>
                      </c:pt>
                      <c:pt idx="4">
                        <c:v>3615.17</c:v>
                      </c:pt>
                      <c:pt idx="5">
                        <c:v>711.62</c:v>
                      </c:pt>
                      <c:pt idx="6">
                        <c:v>318.8</c:v>
                      </c:pt>
                      <c:pt idx="7">
                        <c:v>483.56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BB5-4755-B35A-7D4145F522D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Card'!$A$8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Card'!$B$8:$J$8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3.9324851364249153E-2</c:v>
                      </c:pt>
                      <c:pt idx="1">
                        <c:v>0.21146155939508918</c:v>
                      </c:pt>
                      <c:pt idx="2">
                        <c:v>5.086750262921174E-2</c:v>
                      </c:pt>
                      <c:pt idx="3">
                        <c:v>0.29609041508214673</c:v>
                      </c:pt>
                      <c:pt idx="4">
                        <c:v>0.28352117525176518</c:v>
                      </c:pt>
                      <c:pt idx="5">
                        <c:v>5.580908746550263E-2</c:v>
                      </c:pt>
                      <c:pt idx="6">
                        <c:v>2.5002019454206232E-2</c:v>
                      </c:pt>
                      <c:pt idx="7">
                        <c:v>3.7923389357829247E-2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BB5-4755-B35A-7D4145F522D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Card'!$A$9</c15:sqref>
                        </c15:formulaRef>
                      </c:ext>
                    </c:extLst>
                    <c:strCache>
                      <c:ptCount val="1"/>
                      <c:pt idx="0">
                        <c:v>COGS%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Card'!$B$9:$J$9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1.1718143190992136</c:v>
                      </c:pt>
                      <c:pt idx="1">
                        <c:v>0.18395576587919354</c:v>
                      </c:pt>
                      <c:pt idx="2">
                        <c:v>0.43992810413185435</c:v>
                      </c:pt>
                      <c:pt idx="3">
                        <c:v>0.44217466019603557</c:v>
                      </c:pt>
                      <c:pt idx="4">
                        <c:v>0.70841236870982893</c:v>
                      </c:pt>
                      <c:pt idx="5">
                        <c:v>0.37529281471289061</c:v>
                      </c:pt>
                      <c:pt idx="6">
                        <c:v>2.2876899993476409</c:v>
                      </c:pt>
                      <c:pt idx="7">
                        <c:v>2.1298790742372065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B5-4755-B35A-7D4145F522D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Card'!$A$10</c15:sqref>
                        </c15:formulaRef>
                      </c:ext>
                    </c:extLst>
                    <c:strCache>
                      <c:ptCount val="1"/>
                      <c:pt idx="0">
                        <c:v>Ordermate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Card'!$B$10:$J$10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58306.29</c:v>
                      </c:pt>
                      <c:pt idx="1">
                        <c:v>33089</c:v>
                      </c:pt>
                      <c:pt idx="2">
                        <c:v>11330</c:v>
                      </c:pt>
                      <c:pt idx="3">
                        <c:v>59926</c:v>
                      </c:pt>
                      <c:pt idx="4">
                        <c:v>140277</c:v>
                      </c:pt>
                      <c:pt idx="5">
                        <c:v>15971</c:v>
                      </c:pt>
                      <c:pt idx="6">
                        <c:v>37170</c:v>
                      </c:pt>
                      <c:pt idx="7">
                        <c:v>30719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B5-4755-B35A-7D4145F522D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Card'!$A$11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Card'!$B$11:$J$11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0.15074471360030056</c:v>
                      </c:pt>
                      <c:pt idx="1">
                        <c:v>8.5548091437825061E-2</c:v>
                      </c:pt>
                      <c:pt idx="2">
                        <c:v>2.9292510380808063E-2</c:v>
                      </c:pt>
                      <c:pt idx="3">
                        <c:v>0.15493230159579027</c:v>
                      </c:pt>
                      <c:pt idx="4">
                        <c:v>0.36267126908107788</c:v>
                      </c:pt>
                      <c:pt idx="5">
                        <c:v>4.1291322444120523E-2</c:v>
                      </c:pt>
                      <c:pt idx="6">
                        <c:v>9.6099083041009323E-2</c:v>
                      </c:pt>
                      <c:pt idx="7">
                        <c:v>7.9420708419068217E-2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BB5-4755-B35A-7D4145F522D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Card'!$A$12</c15:sqref>
                        </c15:formulaRef>
                      </c:ext>
                    </c:extLst>
                    <c:strCache>
                      <c:ptCount val="1"/>
                      <c:pt idx="0">
                        <c:v>COGS%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Card'!$B$12:$J$12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1.1028337689684402</c:v>
                      </c:pt>
                      <c:pt idx="1">
                        <c:v>0.1607797632328386</c:v>
                      </c:pt>
                      <c:pt idx="2">
                        <c:v>0.37895165728637425</c:v>
                      </c:pt>
                      <c:pt idx="3">
                        <c:v>0.40069432464491411</c:v>
                      </c:pt>
                      <c:pt idx="4">
                        <c:v>0.68253874030275996</c:v>
                      </c:pt>
                      <c:pt idx="5">
                        <c:v>0.3383262881187834</c:v>
                      </c:pt>
                      <c:pt idx="6">
                        <c:v>2.027850395258977</c:v>
                      </c:pt>
                      <c:pt idx="7">
                        <c:v>2.0088472532019432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B5-4755-B35A-7D4145F522D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Card'!$A$13</c15:sqref>
                        </c15:formulaRef>
                      </c:ext>
                    </c:extLst>
                    <c:strCache>
                      <c:ptCount val="1"/>
                      <c:pt idx="0">
                        <c:v>SwiftPOS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Card'!$B$13:$J$13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3551.69</c:v>
                      </c:pt>
                      <c:pt idx="1">
                        <c:v>7933.87</c:v>
                      </c:pt>
                      <c:pt idx="2">
                        <c:v>1719.42</c:v>
                      </c:pt>
                      <c:pt idx="3">
                        <c:v>13031</c:v>
                      </c:pt>
                      <c:pt idx="4">
                        <c:v>17021</c:v>
                      </c:pt>
                      <c:pt idx="5">
                        <c:v>2180.58</c:v>
                      </c:pt>
                      <c:pt idx="6">
                        <c:v>4669.1000000000004</c:v>
                      </c:pt>
                      <c:pt idx="7">
                        <c:v>4630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BB5-4755-B35A-7D4145F522D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Card'!$A$14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Card'!$B$14:$J$14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6.488686010436151E-2</c:v>
                      </c:pt>
                      <c:pt idx="1">
                        <c:v>0.14494618414788188</c:v>
                      </c:pt>
                      <c:pt idx="2">
                        <c:v>3.1412585276485633E-2</c:v>
                      </c:pt>
                      <c:pt idx="3">
                        <c:v>0.23806713818490205</c:v>
                      </c:pt>
                      <c:pt idx="4">
                        <c:v>0.3109616114684382</c:v>
                      </c:pt>
                      <c:pt idx="5">
                        <c:v>3.983765176757223E-2</c:v>
                      </c:pt>
                      <c:pt idx="6">
                        <c:v>8.5301149174977081E-2</c:v>
                      </c:pt>
                      <c:pt idx="7">
                        <c:v>8.4586819875381511E-2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BB5-4755-B35A-7D4145F522D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Card'!$A$15</c15:sqref>
                        </c15:formulaRef>
                      </c:ext>
                    </c:extLst>
                    <c:strCache>
                      <c:ptCount val="1"/>
                      <c:pt idx="0">
                        <c:v>COGS%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Card'!$B$15:$J$15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1.0611706707590347</c:v>
                      </c:pt>
                      <c:pt idx="1">
                        <c:v>0.2370073965204092</c:v>
                      </c:pt>
                      <c:pt idx="2">
                        <c:v>0.41996576080077946</c:v>
                      </c:pt>
                      <c:pt idx="3">
                        <c:v>0.45631050035271975</c:v>
                      </c:pt>
                      <c:pt idx="4">
                        <c:v>0.63266882567453231</c:v>
                      </c:pt>
                      <c:pt idx="5">
                        <c:v>0.38402416883603419</c:v>
                      </c:pt>
                      <c:pt idx="6">
                        <c:v>2.1312659761643968</c:v>
                      </c:pt>
                      <c:pt idx="7">
                        <c:v>2.0067060941926496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BB5-4755-B35A-7D4145F522D9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Card'!$A$16</c15:sqref>
                        </c15:formulaRef>
                      </c:ext>
                    </c:extLst>
                    <c:strCache>
                      <c:ptCount val="1"/>
                      <c:pt idx="0">
                        <c:v>SwiftPOS Reseller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Card'!$B$16:$J$16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183.9</c:v>
                      </c:pt>
                      <c:pt idx="1">
                        <c:v>429.37</c:v>
                      </c:pt>
                      <c:pt idx="2">
                        <c:v>160.05000000000001</c:v>
                      </c:pt>
                      <c:pt idx="3">
                        <c:v>548.6</c:v>
                      </c:pt>
                      <c:pt idx="4">
                        <c:v>1520.96</c:v>
                      </c:pt>
                      <c:pt idx="5">
                        <c:v>153.30000000000001</c:v>
                      </c:pt>
                      <c:pt idx="6">
                        <c:v>109.32</c:v>
                      </c:pt>
                      <c:pt idx="7">
                        <c:v>100.36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BB5-4755-B35A-7D4145F522D9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Card'!$A$17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Card'!$B$17:$J$17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5.7363702719395102E-2</c:v>
                      </c:pt>
                      <c:pt idx="1">
                        <c:v>0.13393286044930219</c:v>
                      </c:pt>
                      <c:pt idx="2">
                        <c:v>4.9924201306357725E-2</c:v>
                      </c:pt>
                      <c:pt idx="3">
                        <c:v>0.17112412893888065</c:v>
                      </c:pt>
                      <c:pt idx="4">
                        <c:v>0.47443119786890248</c:v>
                      </c:pt>
                      <c:pt idx="5">
                        <c:v>4.7818682038516962E-2</c:v>
                      </c:pt>
                      <c:pt idx="6">
                        <c:v>3.4100054275607784E-2</c:v>
                      </c:pt>
                      <c:pt idx="7">
                        <c:v>3.1305172403036929E-2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BB5-4755-B35A-7D4145F522D9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Card'!$A$18</c15:sqref>
                        </c15:formulaRef>
                      </c:ext>
                    </c:extLst>
                    <c:strCache>
                      <c:ptCount val="1"/>
                      <c:pt idx="0">
                        <c:v>COGS%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Card'!$B$18:$J$18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1.3722949596363887</c:v>
                      </c:pt>
                      <c:pt idx="1">
                        <c:v>0.19883010654913005</c:v>
                      </c:pt>
                      <c:pt idx="2">
                        <c:v>0.52880485387318676</c:v>
                      </c:pt>
                      <c:pt idx="3">
                        <c:v>0.50243951176460788</c:v>
                      </c:pt>
                      <c:pt idx="4">
                        <c:v>0.89062927532991598</c:v>
                      </c:pt>
                      <c:pt idx="5">
                        <c:v>0.47154721624115647</c:v>
                      </c:pt>
                      <c:pt idx="6">
                        <c:v>2.5766445253910435</c:v>
                      </c:pt>
                      <c:pt idx="7">
                        <c:v>2.3114740368509219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BB5-4755-B35A-7D4145F522D9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Card'!$A$19</c15:sqref>
                        </c15:formulaRef>
                      </c:ext>
                    </c:extLst>
                    <c:strCache>
                      <c:ptCount val="1"/>
                      <c:pt idx="0">
                        <c:v>IdealPOS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Card'!$B$19:$J$19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2674.91</c:v>
                      </c:pt>
                      <c:pt idx="1">
                        <c:v>7125.88</c:v>
                      </c:pt>
                      <c:pt idx="2">
                        <c:v>1602</c:v>
                      </c:pt>
                      <c:pt idx="3">
                        <c:v>8601</c:v>
                      </c:pt>
                      <c:pt idx="4">
                        <c:v>13801</c:v>
                      </c:pt>
                      <c:pt idx="5">
                        <c:v>1975</c:v>
                      </c:pt>
                      <c:pt idx="6">
                        <c:v>2135</c:v>
                      </c:pt>
                      <c:pt idx="7">
                        <c:v>2324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3BB5-4755-B35A-7D4145F522D9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Card'!$A$20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Card'!$B$20:$J$20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6.6475905463360102E-2</c:v>
                      </c:pt>
                      <c:pt idx="1">
                        <c:v>0.1770898180586444</c:v>
                      </c:pt>
                      <c:pt idx="2">
                        <c:v>3.9812330340947132E-2</c:v>
                      </c:pt>
                      <c:pt idx="3">
                        <c:v>0.21374897207396146</c:v>
                      </c:pt>
                      <c:pt idx="4">
                        <c:v>0.34297751000962007</c:v>
                      </c:pt>
                      <c:pt idx="5">
                        <c:v>4.9081992773639567E-2</c:v>
                      </c:pt>
                      <c:pt idx="6">
                        <c:v>5.3058255479352133E-2</c:v>
                      </c:pt>
                      <c:pt idx="7">
                        <c:v>5.7755215800475115E-2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3BB5-4755-B35A-7D4145F522D9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Card'!$A$21</c15:sqref>
                        </c15:formulaRef>
                      </c:ext>
                    </c:extLst>
                    <c:strCache>
                      <c:ptCount val="1"/>
                      <c:pt idx="0">
                        <c:v>COGS%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Card'!$B$21:$J$21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1.1513317551307884</c:v>
                      </c:pt>
                      <c:pt idx="1">
                        <c:v>0.19438803168945804</c:v>
                      </c:pt>
                      <c:pt idx="2">
                        <c:v>0.41706013078392257</c:v>
                      </c:pt>
                      <c:pt idx="3">
                        <c:v>0.44220046271412189</c:v>
                      </c:pt>
                      <c:pt idx="4">
                        <c:v>0.68150088121824515</c:v>
                      </c:pt>
                      <c:pt idx="5">
                        <c:v>0.37512712881408056</c:v>
                      </c:pt>
                      <c:pt idx="6">
                        <c:v>2.0418543184545026</c:v>
                      </c:pt>
                      <c:pt idx="7">
                        <c:v>1.9996558251591816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3BB5-4755-B35A-7D4145F522D9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Card'!$A$22</c15:sqref>
                        </c15:formulaRef>
                      </c:ext>
                    </c:extLst>
                    <c:strCache>
                      <c:ptCount val="1"/>
                      <c:pt idx="0">
                        <c:v>IdealPOS Reseller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Card'!$B$22:$J$22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1287.78</c:v>
                      </c:pt>
                      <c:pt idx="1">
                        <c:v>2084.09</c:v>
                      </c:pt>
                      <c:pt idx="2">
                        <c:v>505.36</c:v>
                      </c:pt>
                      <c:pt idx="3">
                        <c:v>2954.1</c:v>
                      </c:pt>
                      <c:pt idx="4">
                        <c:v>5217.2</c:v>
                      </c:pt>
                      <c:pt idx="5">
                        <c:v>639.89</c:v>
                      </c:pt>
                      <c:pt idx="6">
                        <c:v>1148.68</c:v>
                      </c:pt>
                      <c:pt idx="7">
                        <c:v>1210.47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3BB5-4755-B35A-7D4145F522D9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Card'!$A$23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Card'!$B$23:$J$23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8.5580595405105292E-2</c:v>
                      </c:pt>
                      <c:pt idx="1">
                        <c:v>0.13850010333894447</c:v>
                      </c:pt>
                      <c:pt idx="2">
                        <c:v>3.3584160100268684E-2</c:v>
                      </c:pt>
                      <c:pt idx="3">
                        <c:v>0.1963174120472608</c:v>
                      </c:pt>
                      <c:pt idx="4">
                        <c:v>0.34671378833924682</c:v>
                      </c:pt>
                      <c:pt idx="5">
                        <c:v>4.2524474051292005E-2</c:v>
                      </c:pt>
                      <c:pt idx="6">
                        <c:v>7.6336577932516692E-2</c:v>
                      </c:pt>
                      <c:pt idx="7">
                        <c:v>8.044288878536536E-2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3BB5-4755-B35A-7D4145F522D9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Card'!$A$24</c15:sqref>
                        </c15:formulaRef>
                      </c:ext>
                    </c:extLst>
                    <c:strCache>
                      <c:ptCount val="1"/>
                      <c:pt idx="0">
                        <c:v>COGS%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Card'!$B$24:$J$24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1.2143972841136079</c:v>
                      </c:pt>
                      <c:pt idx="1">
                        <c:v>0.19952748737123185</c:v>
                      </c:pt>
                      <c:pt idx="2">
                        <c:v>0.41055228135478067</c:v>
                      </c:pt>
                      <c:pt idx="3">
                        <c:v>0.45856488472057189</c:v>
                      </c:pt>
                      <c:pt idx="4">
                        <c:v>0.60338040726379627</c:v>
                      </c:pt>
                      <c:pt idx="5">
                        <c:v>0.35132292826090211</c:v>
                      </c:pt>
                      <c:pt idx="6">
                        <c:v>2.0310684605616385</c:v>
                      </c:pt>
                      <c:pt idx="7">
                        <c:v>2.0668669088199683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3BB5-4755-B35A-7D4145F522D9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Card'!$A$25</c15:sqref>
                        </c15:formulaRef>
                      </c:ext>
                    </c:extLst>
                    <c:strCache>
                      <c:ptCount val="1"/>
                      <c:pt idx="0">
                        <c:v>Oolio Platform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Card'!$B$25:$J$25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3655.3</c:v>
                      </c:pt>
                      <c:pt idx="1">
                        <c:v>14219.75</c:v>
                      </c:pt>
                      <c:pt idx="2">
                        <c:v>2749.12</c:v>
                      </c:pt>
                      <c:pt idx="3">
                        <c:v>20047.8</c:v>
                      </c:pt>
                      <c:pt idx="4">
                        <c:v>21395</c:v>
                      </c:pt>
                      <c:pt idx="5">
                        <c:v>4083.48</c:v>
                      </c:pt>
                      <c:pt idx="6">
                        <c:v>3647.08</c:v>
                      </c:pt>
                      <c:pt idx="7">
                        <c:v>3835.72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3BB5-4755-B35A-7D4145F522D9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Card'!$A$26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Card'!$B$26:$J$26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4.9641975602054779E-2</c:v>
                      </c:pt>
                      <c:pt idx="1">
                        <c:v>0.19311588175179012</c:v>
                      </c:pt>
                      <c:pt idx="2">
                        <c:v>3.7335307079342551E-2</c:v>
                      </c:pt>
                      <c:pt idx="3">
                        <c:v>0.27226558653869004</c:v>
                      </c:pt>
                      <c:pt idx="4">
                        <c:v>0.29056166881130469</c:v>
                      </c:pt>
                      <c:pt idx="5">
                        <c:v>5.5457011608206888E-2</c:v>
                      </c:pt>
                      <c:pt idx="6">
                        <c:v>4.9530341252083804E-2</c:v>
                      </c:pt>
                      <c:pt idx="7">
                        <c:v>5.2092227356527111E-2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3BB5-4755-B35A-7D4145F522D9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Card'!$A$27</c15:sqref>
                        </c15:formulaRef>
                      </c:ext>
                    </c:extLst>
                    <c:strCache>
                      <c:ptCount val="1"/>
                      <c:pt idx="0">
                        <c:v>COGS%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Card'!$B$27:$J$27</c15:sqref>
                        </c15:formulaRef>
                      </c:ext>
                    </c:extLst>
                    <c:numCache>
                      <c:formatCode>0.00%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3BB5-4755-B35A-7D4145F522D9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Card'!$A$28</c15:sqref>
                        </c15:formulaRef>
                      </c:ext>
                    </c:extLst>
                    <c:strCache>
                      <c:ptCount val="1"/>
                      <c:pt idx="0">
                        <c:v>Oolio Pay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Card'!$B$28:$J$28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81.290000000000006</c:v>
                      </c:pt>
                      <c:pt idx="1">
                        <c:v>482.99</c:v>
                      </c:pt>
                      <c:pt idx="2">
                        <c:v>111.29</c:v>
                      </c:pt>
                      <c:pt idx="3">
                        <c:v>536.76</c:v>
                      </c:pt>
                      <c:pt idx="4">
                        <c:v>791.65</c:v>
                      </c:pt>
                      <c:pt idx="5">
                        <c:v>142.38</c:v>
                      </c:pt>
                      <c:pt idx="6">
                        <c:v>28.91</c:v>
                      </c:pt>
                      <c:pt idx="7">
                        <c:v>17.010000000000002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3BB5-4755-B35A-7D4145F522D9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Card'!$A$29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Card'!$B$29:$J$29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3.7080117503238634E-2</c:v>
                      </c:pt>
                      <c:pt idx="1">
                        <c:v>0.22031401098399839</c:v>
                      </c:pt>
                      <c:pt idx="2">
                        <c:v>5.0764500884923458E-2</c:v>
                      </c:pt>
                      <c:pt idx="3">
                        <c:v>0.2448409874651048</c:v>
                      </c:pt>
                      <c:pt idx="4">
                        <c:v>0.36110807013702623</c:v>
                      </c:pt>
                      <c:pt idx="5">
                        <c:v>6.4946083529476159E-2</c:v>
                      </c:pt>
                      <c:pt idx="6">
                        <c:v>1.3187184118816938E-2</c:v>
                      </c:pt>
                      <c:pt idx="7">
                        <c:v>7.7590453774152935E-3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3BB5-4755-B35A-7D4145F522D9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Card'!$A$30</c15:sqref>
                        </c15:formulaRef>
                      </c:ext>
                    </c:extLst>
                    <c:strCache>
                      <c:ptCount val="1"/>
                      <c:pt idx="0">
                        <c:v>COGS%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Card'!$B$30:$J$30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1.1854567148349466</c:v>
                      </c:pt>
                      <c:pt idx="1">
                        <c:v>0.18668379053595838</c:v>
                      </c:pt>
                      <c:pt idx="2">
                        <c:v>0.40314496476322215</c:v>
                      </c:pt>
                      <c:pt idx="3">
                        <c:v>0.42012551765358835</c:v>
                      </c:pt>
                      <c:pt idx="4">
                        <c:v>0.68547060351545619</c:v>
                      </c:pt>
                      <c:pt idx="5">
                        <c:v>0.42972617022444171</c:v>
                      </c:pt>
                      <c:pt idx="6">
                        <c:v>1.8360854503464206</c:v>
                      </c:pt>
                      <c:pt idx="7">
                        <c:v>2.1384000000000003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3BB5-4755-B35A-7D4145F522D9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Card'!$A$31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Card'!$B$31:$J$31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2142.5699999999997</c:v>
                      </c:pt>
                      <c:pt idx="1">
                        <c:v>0</c:v>
                      </c:pt>
                      <c:pt idx="2">
                        <c:v>251.15545454545455</c:v>
                      </c:pt>
                      <c:pt idx="3">
                        <c:v>2986.9818181818187</c:v>
                      </c:pt>
                      <c:pt idx="4">
                        <c:v>1298.7572727272727</c:v>
                      </c:pt>
                      <c:pt idx="5">
                        <c:v>622.91454545454542</c:v>
                      </c:pt>
                      <c:pt idx="6">
                        <c:v>1540.8772727272728</c:v>
                      </c:pt>
                      <c:pt idx="7">
                        <c:v>1346.8836363636365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3BB5-4755-B35A-7D4145F522D9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Card'!$A$32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Card'!$B$32:$J$32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0.21025913284802755</c:v>
                      </c:pt>
                      <c:pt idx="1">
                        <c:v>0</c:v>
                      </c:pt>
                      <c:pt idx="2">
                        <c:v>2.4646909124453099E-2</c:v>
                      </c:pt>
                      <c:pt idx="3">
                        <c:v>0.29312470860869611</c:v>
                      </c:pt>
                      <c:pt idx="4">
                        <c:v>0.12745234832173774</c:v>
                      </c:pt>
                      <c:pt idx="5">
                        <c:v>6.112914498275248E-2</c:v>
                      </c:pt>
                      <c:pt idx="6">
                        <c:v>0.15121257143937891</c:v>
                      </c:pt>
                      <c:pt idx="7">
                        <c:v>0.13217518467495407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3BB5-4755-B35A-7D4145F522D9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Card'!$A$33</c15:sqref>
                        </c15:formulaRef>
                      </c:ext>
                    </c:extLst>
                    <c:strCache>
                      <c:ptCount val="1"/>
                      <c:pt idx="0">
                        <c:v>COGS%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Card'!$B$33:$J$33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0.95816102514899937</c:v>
                      </c:pt>
                      <c:pt idx="1">
                        <c:v>0</c:v>
                      </c:pt>
                      <c:pt idx="2">
                        <c:v>0.68048720411832797</c:v>
                      </c:pt>
                      <c:pt idx="3">
                        <c:v>0.71343919433883196</c:v>
                      </c:pt>
                      <c:pt idx="4">
                        <c:v>1.0259556621591537</c:v>
                      </c:pt>
                      <c:pt idx="5">
                        <c:v>0.87423256526065996</c:v>
                      </c:pt>
                      <c:pt idx="6">
                        <c:v>1.0414083572442356</c:v>
                      </c:pt>
                      <c:pt idx="7">
                        <c:v>0.76205103410674913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3BB5-4755-B35A-7D4145F522D9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Card'!$A$34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Card'!$B$34:$J$34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131934.40999999997</c:v>
                      </c:pt>
                      <c:pt idx="1">
                        <c:v>133087.70000000001</c:v>
                      </c:pt>
                      <c:pt idx="2">
                        <c:v>35211.755454545455</c:v>
                      </c:pt>
                      <c:pt idx="3">
                        <c:v>215727.4118181818</c:v>
                      </c:pt>
                      <c:pt idx="4">
                        <c:v>374267.7372727273</c:v>
                      </c:pt>
                      <c:pt idx="5">
                        <c:v>47321.164545454551</c:v>
                      </c:pt>
                      <c:pt idx="6">
                        <c:v>106029.30727272728</c:v>
                      </c:pt>
                      <c:pt idx="7">
                        <c:v>99615.933636363625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3BB5-4755-B35A-7D4145F522D9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Card'!$A$35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Card'!$B$35:$J$35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0.11540844871474379</c:v>
                      </c:pt>
                      <c:pt idx="1">
                        <c:v>0.11641727885858746</c:v>
                      </c:pt>
                      <c:pt idx="2">
                        <c:v>3.080116910768017E-2</c:v>
                      </c:pt>
                      <c:pt idx="3">
                        <c:v>0.18870562988975395</c:v>
                      </c:pt>
                      <c:pt idx="4">
                        <c:v>0.32738736590873269</c:v>
                      </c:pt>
                      <c:pt idx="5">
                        <c:v>4.1393766732773084E-2</c:v>
                      </c:pt>
                      <c:pt idx="6">
                        <c:v>9.2748191094683782E-2</c:v>
                      </c:pt>
                      <c:pt idx="7">
                        <c:v>8.7138149693045161E-2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3BB5-4755-B35A-7D4145F522D9}"/>
                  </c:ext>
                </c:extLst>
              </c15:ser>
            </c15:filteredBarSeries>
          </c:ext>
        </c:extLst>
      </c:barChart>
      <c:catAx>
        <c:axId val="197440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61088"/>
        <c:crosses val="autoZero"/>
        <c:auto val="1"/>
        <c:lblAlgn val="ctr"/>
        <c:lblOffset val="100"/>
        <c:noMultiLvlLbl val="0"/>
      </c:catAx>
      <c:valAx>
        <c:axId val="7064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404480"/>
        <c:crosses val="autoZero"/>
        <c:crossBetween val="between"/>
      </c:valAx>
      <c:dTable>
        <c:showHorzBorder val="0"/>
        <c:showVertBorder val="0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Revenu</a:t>
            </a:r>
            <a:r>
              <a:rPr lang="en-AU" baseline="0"/>
              <a:t>e to GP Report by Card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41"/>
          <c:order val="41"/>
          <c:tx>
            <c:strRef>
              <c:f>'GP Summary'!$A$45</c:f>
              <c:strCache>
                <c:ptCount val="1"/>
                <c:pt idx="0">
                  <c:v>MSF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'GP Summary'!$B$2:$L$2</c15:sqref>
                  </c15:fullRef>
                </c:ext>
              </c:extLst>
              <c:f>'GP Summary'!$B$2:$K$2</c:f>
              <c:strCache>
                <c:ptCount val="9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  <c:pt idx="8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'GP Summary'!$B$45:$L$45</c15:sqref>
                  </c15:fullRef>
                </c:ext>
              </c:extLst>
              <c:f>'GP Summary'!$B$45:$K$45</c:f>
              <c:numCache>
                <c:formatCode>_-"$"* #,##0_-;\-"$"* #,##0_-;_-"$"* "-"??_-;_-@_-</c:formatCode>
                <c:ptCount val="9"/>
                <c:pt idx="0">
                  <c:v>120445.7818181818</c:v>
                </c:pt>
                <c:pt idx="1">
                  <c:v>663995.53636363626</c:v>
                </c:pt>
                <c:pt idx="2">
                  <c:v>83860.490909090862</c:v>
                </c:pt>
                <c:pt idx="3">
                  <c:v>468632.70909090899</c:v>
                </c:pt>
                <c:pt idx="4">
                  <c:v>551713.47272727289</c:v>
                </c:pt>
                <c:pt idx="5">
                  <c:v>123228.34545454542</c:v>
                </c:pt>
                <c:pt idx="6">
                  <c:v>52705.709090909069</c:v>
                </c:pt>
                <c:pt idx="7">
                  <c:v>48733.409090909074</c:v>
                </c:pt>
                <c:pt idx="8">
                  <c:v>2113315.4545454546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538B-4878-A31B-45EF926EBD45}"/>
            </c:ext>
          </c:extLst>
        </c:ser>
        <c:ser>
          <c:idx val="42"/>
          <c:order val="42"/>
          <c:tx>
            <c:strRef>
              <c:f>'GP Summary'!$A$46</c:f>
              <c:strCache>
                <c:ptCount val="1"/>
                <c:pt idx="0">
                  <c:v>COGS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'GP Summary'!$B$2:$L$2</c15:sqref>
                  </c15:fullRef>
                </c:ext>
              </c:extLst>
              <c:f>'GP Summary'!$B$2:$K$2</c:f>
              <c:strCache>
                <c:ptCount val="9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  <c:pt idx="8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'GP Summary'!$B$46:$L$46</c15:sqref>
                  </c15:fullRef>
                </c:ext>
              </c:extLst>
              <c:f>'GP Summary'!$B$46:$K$46</c:f>
              <c:numCache>
                <c:formatCode>_-"$"* #,##0_-;\-"$"* #,##0_-;_-"$"* "-"??_-;_-@_-</c:formatCode>
                <c:ptCount val="9"/>
                <c:pt idx="0">
                  <c:v>131934.40999999997</c:v>
                </c:pt>
                <c:pt idx="1">
                  <c:v>133087.70000000001</c:v>
                </c:pt>
                <c:pt idx="2">
                  <c:v>35211.755454545455</c:v>
                </c:pt>
                <c:pt idx="3">
                  <c:v>215727.4118181818</c:v>
                </c:pt>
                <c:pt idx="4">
                  <c:v>374267.7372727273</c:v>
                </c:pt>
                <c:pt idx="5">
                  <c:v>47321.164545454551</c:v>
                </c:pt>
                <c:pt idx="6">
                  <c:v>106029.30727272728</c:v>
                </c:pt>
                <c:pt idx="7">
                  <c:v>99615.933636363625</c:v>
                </c:pt>
                <c:pt idx="8">
                  <c:v>1143195.42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538B-4878-A31B-45EF926EBD45}"/>
            </c:ext>
          </c:extLst>
        </c:ser>
        <c:ser>
          <c:idx val="43"/>
          <c:order val="43"/>
          <c:tx>
            <c:strRef>
              <c:f>'GP Summary'!$A$47</c:f>
              <c:strCache>
                <c:ptCount val="1"/>
                <c:pt idx="0">
                  <c:v>GP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'GP Summary'!$B$2:$L$2</c15:sqref>
                  </c15:fullRef>
                </c:ext>
              </c:extLst>
              <c:f>'GP Summary'!$B$2:$K$2</c:f>
              <c:strCache>
                <c:ptCount val="9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  <c:pt idx="8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'GP Summary'!$B$47:$L$47</c15:sqref>
                  </c15:fullRef>
                </c:ext>
              </c:extLst>
              <c:f>'GP Summary'!$B$47:$K$47</c:f>
              <c:numCache>
                <c:formatCode>_-"$"* #,##0_-;\-"$"* #,##0_-;_-"$"* "-"??_-;_-@_-</c:formatCode>
                <c:ptCount val="9"/>
                <c:pt idx="0">
                  <c:v>-11488.628181818189</c:v>
                </c:pt>
                <c:pt idx="1">
                  <c:v>530907.83636363631</c:v>
                </c:pt>
                <c:pt idx="2">
                  <c:v>48648.735454545444</c:v>
                </c:pt>
                <c:pt idx="3">
                  <c:v>252905.2972727273</c:v>
                </c:pt>
                <c:pt idx="4">
                  <c:v>177445.73545454562</c:v>
                </c:pt>
                <c:pt idx="5">
                  <c:v>75907.180909090879</c:v>
                </c:pt>
                <c:pt idx="6">
                  <c:v>-53323.598181818212</c:v>
                </c:pt>
                <c:pt idx="7">
                  <c:v>-50882.524545454551</c:v>
                </c:pt>
                <c:pt idx="8">
                  <c:v>970120.03454545466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538B-4878-A31B-45EF926EB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4281968"/>
        <c:axId val="1264288688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'GP Summary'!$A$4</c15:sqref>
                        </c15:formulaRef>
                      </c:ext>
                    </c:extLst>
                    <c:strCache>
                      <c:ptCount val="1"/>
                      <c:pt idx="0">
                        <c:v>Bepoz - GTV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'GP Summary'!$B$4:$L$4</c15:sqref>
                        </c15:fullRef>
                        <c15:formulaRef>
                          <c15:sqref>'GP Summary'!$B$4:$K$4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3513336.72</c:v>
                      </c:pt>
                      <c:pt idx="1">
                        <c:v>22346622.780000009</c:v>
                      </c:pt>
                      <c:pt idx="2">
                        <c:v>2616131.8100000015</c:v>
                      </c:pt>
                      <c:pt idx="3">
                        <c:v>15284097.470000001</c:v>
                      </c:pt>
                      <c:pt idx="4">
                        <c:v>16780190.190000013</c:v>
                      </c:pt>
                      <c:pt idx="5">
                        <c:v>3679803.4800000009</c:v>
                      </c:pt>
                      <c:pt idx="6">
                        <c:v>1832306.2899999998</c:v>
                      </c:pt>
                      <c:pt idx="7">
                        <c:v>1795722.3000000005</c:v>
                      </c:pt>
                      <c:pt idx="8">
                        <c:v>67848672.600000024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38B-4878-A31B-45EF926EBD4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Summary'!$A$5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Summary'!$B$5:$L$5</c15:sqref>
                        </c15:fullRef>
                        <c15:formulaRef>
                          <c15:sqref>'GP Summary'!$B$5:$K$5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54878.336363636379</c:v>
                      </c:pt>
                      <c:pt idx="1">
                        <c:v>313667.54545454535</c:v>
                      </c:pt>
                      <c:pt idx="2">
                        <c:v>37106.963636363631</c:v>
                      </c:pt>
                      <c:pt idx="3">
                        <c:v>216052.08181818179</c:v>
                      </c:pt>
                      <c:pt idx="4">
                        <c:v>253741.6363636365</c:v>
                      </c:pt>
                      <c:pt idx="5">
                        <c:v>52110.663636363621</c:v>
                      </c:pt>
                      <c:pt idx="6">
                        <c:v>27299.318181818173</c:v>
                      </c:pt>
                      <c:pt idx="7">
                        <c:v>25640.481818181815</c:v>
                      </c:pt>
                      <c:pt idx="8">
                        <c:v>980497.02727272711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38B-4878-A31B-45EF926EBD4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Summary'!$A$6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Summary'!$B$6:$L$6</c15:sqref>
                        </c15:fullRef>
                        <c15:formulaRef>
                          <c15:sqref>'GP Summary'!$B$6:$K$6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59549.25</c:v>
                      </c:pt>
                      <c:pt idx="1">
                        <c:v>65026.41</c:v>
                      </c:pt>
                      <c:pt idx="2">
                        <c:v>16134.75</c:v>
                      </c:pt>
                      <c:pt idx="3">
                        <c:v>103319.73</c:v>
                      </c:pt>
                      <c:pt idx="4">
                        <c:v>169330</c:v>
                      </c:pt>
                      <c:pt idx="5">
                        <c:v>20841</c:v>
                      </c:pt>
                      <c:pt idx="6">
                        <c:v>55261.54</c:v>
                      </c:pt>
                      <c:pt idx="7">
                        <c:v>54948.93</c:v>
                      </c:pt>
                      <c:pt idx="8">
                        <c:v>544411.61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38B-4878-A31B-45EF926EBD4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Summary'!$A$7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Summary'!$B$7:$L$7</c15:sqref>
                        </c15:fullRef>
                        <c15:formulaRef>
                          <c15:sqref>'GP Summary'!$B$7:$K$7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-4670.9136363636208</c:v>
                      </c:pt>
                      <c:pt idx="1">
                        <c:v>248641.13545454535</c:v>
                      </c:pt>
                      <c:pt idx="2">
                        <c:v>20972.213636363631</c:v>
                      </c:pt>
                      <c:pt idx="3">
                        <c:v>112732.35181818179</c:v>
                      </c:pt>
                      <c:pt idx="4">
                        <c:v>84411.636363636499</c:v>
                      </c:pt>
                      <c:pt idx="5">
                        <c:v>31269.663636363621</c:v>
                      </c:pt>
                      <c:pt idx="6">
                        <c:v>-27962.221818181828</c:v>
                      </c:pt>
                      <c:pt idx="7">
                        <c:v>-29308.448181818185</c:v>
                      </c:pt>
                      <c:pt idx="8">
                        <c:v>436085.41727272735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38B-4878-A31B-45EF926EBD4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Summary'!$A$8</c15:sqref>
                        </c15:formulaRef>
                      </c:ext>
                    </c:extLst>
                    <c:strCache>
                      <c:ptCount val="1"/>
                      <c:pt idx="0">
                        <c:v>Deliverit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Summary'!$B$8:$L$8</c15:sqref>
                        </c15:fullRef>
                        <c15:formulaRef>
                          <c15:sqref>'GP Summary'!$B$8:$K$8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28971.789999999994</c:v>
                      </c:pt>
                      <c:pt idx="1">
                        <c:v>992912.44000000029</c:v>
                      </c:pt>
                      <c:pt idx="2">
                        <c:v>99801.569999999992</c:v>
                      </c:pt>
                      <c:pt idx="3">
                        <c:v>577670.54000000015</c:v>
                      </c:pt>
                      <c:pt idx="4">
                        <c:v>345338.64000000013</c:v>
                      </c:pt>
                      <c:pt idx="5">
                        <c:v>128398</c:v>
                      </c:pt>
                      <c:pt idx="6">
                        <c:v>8759.07</c:v>
                      </c:pt>
                      <c:pt idx="7">
                        <c:v>15389.529999999999</c:v>
                      </c:pt>
                      <c:pt idx="8">
                        <c:v>2197241.58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8B-4878-A31B-45EF926EBD4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Summary'!$A$9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Summary'!$B$9:$L$9</c15:sqref>
                        </c15:fullRef>
                        <c15:formulaRef>
                          <c15:sqref>'GP Summary'!$B$9:$K$9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427.90909090909099</c:v>
                      </c:pt>
                      <c:pt idx="1">
                        <c:v>14657.545454545449</c:v>
                      </c:pt>
                      <c:pt idx="2">
                        <c:v>1474.3545454545454</c:v>
                      </c:pt>
                      <c:pt idx="3">
                        <c:v>8538.3454545454515</c:v>
                      </c:pt>
                      <c:pt idx="4">
                        <c:v>5103.2000000000016</c:v>
                      </c:pt>
                      <c:pt idx="5">
                        <c:v>1896.1727272727271</c:v>
                      </c:pt>
                      <c:pt idx="6">
                        <c:v>139.3545454545455</c:v>
                      </c:pt>
                      <c:pt idx="7">
                        <c:v>227.03636363636366</c:v>
                      </c:pt>
                      <c:pt idx="8">
                        <c:v>32463.918181818175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38B-4878-A31B-45EF926EBD4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Summary'!$A$10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Summary'!$B$10:$L$10</c15:sqref>
                        </c15:fullRef>
                        <c15:formulaRef>
                          <c15:sqref>'GP Summary'!$B$10:$K$10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501.43</c:v>
                      </c:pt>
                      <c:pt idx="1">
                        <c:v>2696.34</c:v>
                      </c:pt>
                      <c:pt idx="2">
                        <c:v>648.61</c:v>
                      </c:pt>
                      <c:pt idx="3">
                        <c:v>3775.44</c:v>
                      </c:pt>
                      <c:pt idx="4">
                        <c:v>3615.17</c:v>
                      </c:pt>
                      <c:pt idx="5">
                        <c:v>711.62</c:v>
                      </c:pt>
                      <c:pt idx="6">
                        <c:v>318.8</c:v>
                      </c:pt>
                      <c:pt idx="7">
                        <c:v>483.56</c:v>
                      </c:pt>
                      <c:pt idx="8">
                        <c:v>12750.97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38B-4878-A31B-45EF926EBD4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Summary'!$A$11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Summary'!$B$11:$L$11</c15:sqref>
                        </c15:fullRef>
                        <c15:formulaRef>
                          <c15:sqref>'GP Summary'!$B$11:$K$11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-73.520909090909015</c:v>
                      </c:pt>
                      <c:pt idx="1">
                        <c:v>11961.205454545448</c:v>
                      </c:pt>
                      <c:pt idx="2">
                        <c:v>825.74454545454535</c:v>
                      </c:pt>
                      <c:pt idx="3">
                        <c:v>4762.905454545451</c:v>
                      </c:pt>
                      <c:pt idx="4">
                        <c:v>1488.0300000000016</c:v>
                      </c:pt>
                      <c:pt idx="5">
                        <c:v>1184.5527272727272</c:v>
                      </c:pt>
                      <c:pt idx="6">
                        <c:v>-179.44545454545451</c:v>
                      </c:pt>
                      <c:pt idx="7">
                        <c:v>-256.52363636363634</c:v>
                      </c:pt>
                      <c:pt idx="8">
                        <c:v>19712.948181818174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38B-4878-A31B-45EF926EBD4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Summary'!$A$12</c15:sqref>
                        </c15:formulaRef>
                      </c:ext>
                    </c:extLst>
                    <c:strCache>
                      <c:ptCount val="1"/>
                      <c:pt idx="0">
                        <c:v>Ordermate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Summary'!$B$12:$L$12</c15:sqref>
                        </c15:fullRef>
                        <c15:formulaRef>
                          <c15:sqref>'GP Summary'!$B$12:$K$12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3451836.4899999993</c:v>
                      </c:pt>
                      <c:pt idx="1">
                        <c:v>14232255.489999998</c:v>
                      </c:pt>
                      <c:pt idx="2">
                        <c:v>2063144.4300000002</c:v>
                      </c:pt>
                      <c:pt idx="3">
                        <c:v>10380845.669999996</c:v>
                      </c:pt>
                      <c:pt idx="4">
                        <c:v>14191344.989999996</c:v>
                      </c:pt>
                      <c:pt idx="5">
                        <c:v>3283670.7599999988</c:v>
                      </c:pt>
                      <c:pt idx="6">
                        <c:v>1251747</c:v>
                      </c:pt>
                      <c:pt idx="7">
                        <c:v>1056702.6200000001</c:v>
                      </c:pt>
                      <c:pt idx="8">
                        <c:v>49911580.539999984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38B-4878-A31B-45EF926EBD4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Summary'!$A$13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Summary'!$B$13:$L$13</c15:sqref>
                        </c15:fullRef>
                        <c15:formulaRef>
                          <c15:sqref>'GP Summary'!$B$13:$K$13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52869.518181818159</c:v>
                      </c:pt>
                      <c:pt idx="1">
                        <c:v>205803.26363636358</c:v>
                      </c:pt>
                      <c:pt idx="2">
                        <c:v>29898.272727272717</c:v>
                      </c:pt>
                      <c:pt idx="3">
                        <c:v>149555.40000000002</c:v>
                      </c:pt>
                      <c:pt idx="4">
                        <c:v>205522.40000000005</c:v>
                      </c:pt>
                      <c:pt idx="5">
                        <c:v>47205.909090909074</c:v>
                      </c:pt>
                      <c:pt idx="6">
                        <c:v>18329.754545454529</c:v>
                      </c:pt>
                      <c:pt idx="7">
                        <c:v>15291.854545454538</c:v>
                      </c:pt>
                      <c:pt idx="8">
                        <c:v>724476.37272727257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38B-4878-A31B-45EF926EBD4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Summary'!$A$14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Summary'!$B$14:$L$14</c15:sqref>
                        </c15:fullRef>
                        <c15:formulaRef>
                          <c15:sqref>'GP Summary'!$B$14:$K$14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58306.29</c:v>
                      </c:pt>
                      <c:pt idx="1">
                        <c:v>33089</c:v>
                      </c:pt>
                      <c:pt idx="2">
                        <c:v>11330</c:v>
                      </c:pt>
                      <c:pt idx="3">
                        <c:v>59926</c:v>
                      </c:pt>
                      <c:pt idx="4">
                        <c:v>140277</c:v>
                      </c:pt>
                      <c:pt idx="5">
                        <c:v>15971</c:v>
                      </c:pt>
                      <c:pt idx="6">
                        <c:v>37170</c:v>
                      </c:pt>
                      <c:pt idx="7">
                        <c:v>30719</c:v>
                      </c:pt>
                      <c:pt idx="8">
                        <c:v>386788.29000000004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38B-4878-A31B-45EF926EBD4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Summary'!$A$15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Summary'!$B$15:$L$15</c15:sqref>
                        </c15:fullRef>
                        <c15:formulaRef>
                          <c15:sqref>'GP Summary'!$B$15:$K$15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-5436.7718181818418</c:v>
                      </c:pt>
                      <c:pt idx="1">
                        <c:v>172714.26363636358</c:v>
                      </c:pt>
                      <c:pt idx="2">
                        <c:v>18568.272727272717</c:v>
                      </c:pt>
                      <c:pt idx="3">
                        <c:v>89629.400000000023</c:v>
                      </c:pt>
                      <c:pt idx="4">
                        <c:v>65245.400000000052</c:v>
                      </c:pt>
                      <c:pt idx="5">
                        <c:v>31234.909090909074</c:v>
                      </c:pt>
                      <c:pt idx="6">
                        <c:v>-18840.245454545471</c:v>
                      </c:pt>
                      <c:pt idx="7">
                        <c:v>-15427.145454545462</c:v>
                      </c:pt>
                      <c:pt idx="8">
                        <c:v>337688.08272727259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538B-4878-A31B-45EF926EBD4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Summary'!$A$16</c15:sqref>
                        </c15:formulaRef>
                      </c:ext>
                    </c:extLst>
                    <c:strCache>
                      <c:ptCount val="1"/>
                      <c:pt idx="0">
                        <c:v>SwiftPOS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Summary'!$B$16:$L$16</c15:sqref>
                        </c15:fullRef>
                        <c15:formulaRef>
                          <c15:sqref>'GP Summary'!$B$16:$K$16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204984.90000000002</c:v>
                      </c:pt>
                      <c:pt idx="1">
                        <c:v>2129764.1300000013</c:v>
                      </c:pt>
                      <c:pt idx="2">
                        <c:v>270174.44999999995</c:v>
                      </c:pt>
                      <c:pt idx="3">
                        <c:v>1703842.1900000004</c:v>
                      </c:pt>
                      <c:pt idx="4">
                        <c:v>1710872.9400000004</c:v>
                      </c:pt>
                      <c:pt idx="5">
                        <c:v>351036.35000000009</c:v>
                      </c:pt>
                      <c:pt idx="6">
                        <c:v>143753.76000000015</c:v>
                      </c:pt>
                      <c:pt idx="7">
                        <c:v>145986.39999999991</c:v>
                      </c:pt>
                      <c:pt idx="8">
                        <c:v>6660419.1700000018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538B-4878-A31B-45EF926EBD4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Summary'!$A$17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Summary'!$B$17:$L$17</c15:sqref>
                        </c15:fullRef>
                        <c15:formulaRef>
                          <c15:sqref>'GP Summary'!$B$17:$K$17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3346.9545454545455</c:v>
                      </c:pt>
                      <c:pt idx="1">
                        <c:v>33475.19999999999</c:v>
                      </c:pt>
                      <c:pt idx="2">
                        <c:v>4094.1909090909126</c:v>
                      </c:pt>
                      <c:pt idx="3">
                        <c:v>28557.309090909093</c:v>
                      </c:pt>
                      <c:pt idx="4">
                        <c:v>26903.490909090906</c:v>
                      </c:pt>
                      <c:pt idx="5">
                        <c:v>5678.2363636363643</c:v>
                      </c:pt>
                      <c:pt idx="6">
                        <c:v>2190.763636363632</c:v>
                      </c:pt>
                      <c:pt idx="7">
                        <c:v>2307.2636363636352</c:v>
                      </c:pt>
                      <c:pt idx="8">
                        <c:v>106553.40909090907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538B-4878-A31B-45EF926EBD4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Summary'!$A$18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Summary'!$B$18:$L$18</c15:sqref>
                        </c15:fullRef>
                        <c15:formulaRef>
                          <c15:sqref>'GP Summary'!$B$18:$K$18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3551.69</c:v>
                      </c:pt>
                      <c:pt idx="1">
                        <c:v>7933.87</c:v>
                      </c:pt>
                      <c:pt idx="2">
                        <c:v>1719.42</c:v>
                      </c:pt>
                      <c:pt idx="3">
                        <c:v>13031</c:v>
                      </c:pt>
                      <c:pt idx="4">
                        <c:v>17021</c:v>
                      </c:pt>
                      <c:pt idx="5">
                        <c:v>2180.58</c:v>
                      </c:pt>
                      <c:pt idx="6">
                        <c:v>4669.1000000000004</c:v>
                      </c:pt>
                      <c:pt idx="7">
                        <c:v>4630</c:v>
                      </c:pt>
                      <c:pt idx="8">
                        <c:v>54736.659999999996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538B-4878-A31B-45EF926EBD45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Summary'!$A$19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Summary'!$B$19:$L$19</c15:sqref>
                        </c15:fullRef>
                        <c15:formulaRef>
                          <c15:sqref>'GP Summary'!$B$19:$K$19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-204.73545454545456</c:v>
                      </c:pt>
                      <c:pt idx="1">
                        <c:v>25541.329999999991</c:v>
                      </c:pt>
                      <c:pt idx="2">
                        <c:v>2374.7709090909125</c:v>
                      </c:pt>
                      <c:pt idx="3">
                        <c:v>15526.309090909093</c:v>
                      </c:pt>
                      <c:pt idx="4">
                        <c:v>9882.4909090909059</c:v>
                      </c:pt>
                      <c:pt idx="5">
                        <c:v>3497.6563636363644</c:v>
                      </c:pt>
                      <c:pt idx="6">
                        <c:v>-2478.3363636363683</c:v>
                      </c:pt>
                      <c:pt idx="7">
                        <c:v>-2322.7363636363648</c:v>
                      </c:pt>
                      <c:pt idx="8">
                        <c:v>51816.749090909077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538B-4878-A31B-45EF926EBD45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Summary'!$A$20</c15:sqref>
                        </c15:formulaRef>
                      </c:ext>
                    </c:extLst>
                    <c:strCache>
                      <c:ptCount val="1"/>
                      <c:pt idx="0">
                        <c:v>SwiftPOS Reseller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Summary'!$B$20:$L$20</c15:sqref>
                        </c15:fullRef>
                        <c15:formulaRef>
                          <c15:sqref>'GP Summary'!$B$20:$K$20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10150.43</c:v>
                      </c:pt>
                      <c:pt idx="1">
                        <c:v>163384.25000000003</c:v>
                      </c:pt>
                      <c:pt idx="2">
                        <c:v>22548.799999999996</c:v>
                      </c:pt>
                      <c:pt idx="3">
                        <c:v>79880.649999999994</c:v>
                      </c:pt>
                      <c:pt idx="4">
                        <c:v>124934.34000000003</c:v>
                      </c:pt>
                      <c:pt idx="5">
                        <c:v>24332.050000000003</c:v>
                      </c:pt>
                      <c:pt idx="6">
                        <c:v>2978.54</c:v>
                      </c:pt>
                      <c:pt idx="7">
                        <c:v>3211.2799999999997</c:v>
                      </c:pt>
                      <c:pt idx="8">
                        <c:v>431420.34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538B-4878-A31B-45EF926EBD45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Summary'!$A$21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Summary'!$B$21:$L$21</c15:sqref>
                        </c15:fullRef>
                        <c15:formulaRef>
                          <c15:sqref>'GP Summary'!$B$21:$K$21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134.00909090909087</c:v>
                      </c:pt>
                      <c:pt idx="1">
                        <c:v>2159.4818181818182</c:v>
                      </c:pt>
                      <c:pt idx="2">
                        <c:v>302.66363636363627</c:v>
                      </c:pt>
                      <c:pt idx="3">
                        <c:v>1091.8727272727274</c:v>
                      </c:pt>
                      <c:pt idx="4">
                        <c:v>1707.7363636363632</c:v>
                      </c:pt>
                      <c:pt idx="5">
                        <c:v>325.10000000000008</c:v>
                      </c:pt>
                      <c:pt idx="6">
                        <c:v>42.427272727272722</c:v>
                      </c:pt>
                      <c:pt idx="7">
                        <c:v>43.418181818181807</c:v>
                      </c:pt>
                      <c:pt idx="8">
                        <c:v>5806.7090909090903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538B-4878-A31B-45EF926EBD45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Summary'!$A$22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Summary'!$B$22:$L$22</c15:sqref>
                        </c15:fullRef>
                        <c15:formulaRef>
                          <c15:sqref>'GP Summary'!$B$22:$K$22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183.9</c:v>
                      </c:pt>
                      <c:pt idx="1">
                        <c:v>429.37</c:v>
                      </c:pt>
                      <c:pt idx="2">
                        <c:v>160.05000000000001</c:v>
                      </c:pt>
                      <c:pt idx="3">
                        <c:v>548.6</c:v>
                      </c:pt>
                      <c:pt idx="4">
                        <c:v>1520.96</c:v>
                      </c:pt>
                      <c:pt idx="5">
                        <c:v>153.30000000000001</c:v>
                      </c:pt>
                      <c:pt idx="6">
                        <c:v>109.32</c:v>
                      </c:pt>
                      <c:pt idx="7">
                        <c:v>100.36</c:v>
                      </c:pt>
                      <c:pt idx="8">
                        <c:v>3205.8600000000006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538B-4878-A31B-45EF926EBD45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Summary'!$A$23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Summary'!$B$23:$L$23</c15:sqref>
                        </c15:fullRef>
                        <c15:formulaRef>
                          <c15:sqref>'GP Summary'!$B$23:$K$23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-49.890909090909133</c:v>
                      </c:pt>
                      <c:pt idx="1">
                        <c:v>1730.1118181818183</c:v>
                      </c:pt>
                      <c:pt idx="2">
                        <c:v>142.61363636363626</c:v>
                      </c:pt>
                      <c:pt idx="3">
                        <c:v>543.27272727272737</c:v>
                      </c:pt>
                      <c:pt idx="4">
                        <c:v>186.77636363636316</c:v>
                      </c:pt>
                      <c:pt idx="5">
                        <c:v>171.80000000000007</c:v>
                      </c:pt>
                      <c:pt idx="6">
                        <c:v>-66.892727272727271</c:v>
                      </c:pt>
                      <c:pt idx="7">
                        <c:v>-56.941818181818192</c:v>
                      </c:pt>
                      <c:pt idx="8">
                        <c:v>2600.8490909090901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538B-4878-A31B-45EF926EBD45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Summary'!$A$24</c15:sqref>
                        </c15:formulaRef>
                      </c:ext>
                    </c:extLst>
                    <c:strCache>
                      <c:ptCount val="1"/>
                      <c:pt idx="0">
                        <c:v>IdealPOS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Summary'!$B$24:$L$24</c15:sqref>
                        </c15:fullRef>
                        <c15:formulaRef>
                          <c15:sqref>'GP Summary'!$B$24:$K$24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158854.65000000002</c:v>
                      </c:pt>
                      <c:pt idx="1">
                        <c:v>2604721.9599999995</c:v>
                      </c:pt>
                      <c:pt idx="2">
                        <c:v>270902.85000000003</c:v>
                      </c:pt>
                      <c:pt idx="3">
                        <c:v>1362981.5900000005</c:v>
                      </c:pt>
                      <c:pt idx="4">
                        <c:v>1382177.67</c:v>
                      </c:pt>
                      <c:pt idx="5">
                        <c:v>368459.10000000033</c:v>
                      </c:pt>
                      <c:pt idx="6">
                        <c:v>72423.789999999994</c:v>
                      </c:pt>
                      <c:pt idx="7">
                        <c:v>80688.459999999977</c:v>
                      </c:pt>
                      <c:pt idx="8">
                        <c:v>6301210.0700000003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538B-4878-A31B-45EF926EBD45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Summary'!$A$25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Summary'!$B$25:$L$25</c15:sqref>
                        </c15:fullRef>
                        <c15:formulaRef>
                          <c15:sqref>'GP Summary'!$B$25:$K$25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2323.318181818182</c:v>
                      </c:pt>
                      <c:pt idx="1">
                        <c:v>36658.018181818174</c:v>
                      </c:pt>
                      <c:pt idx="2">
                        <c:v>3841.1727272727271</c:v>
                      </c:pt>
                      <c:pt idx="3">
                        <c:v>19450.454545454555</c:v>
                      </c:pt>
                      <c:pt idx="4">
                        <c:v>20250.890909090904</c:v>
                      </c:pt>
                      <c:pt idx="5">
                        <c:v>5264.8818181818142</c:v>
                      </c:pt>
                      <c:pt idx="6">
                        <c:v>1045.6181818181819</c:v>
                      </c:pt>
                      <c:pt idx="7">
                        <c:v>1162.1999999999996</c:v>
                      </c:pt>
                      <c:pt idx="8">
                        <c:v>89996.554545454535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538B-4878-A31B-45EF926EBD45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Summary'!$A$26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Summary'!$B$26:$L$26</c15:sqref>
                        </c15:fullRef>
                        <c15:formulaRef>
                          <c15:sqref>'GP Summary'!$B$26:$K$26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2674.91</c:v>
                      </c:pt>
                      <c:pt idx="1">
                        <c:v>7125.88</c:v>
                      </c:pt>
                      <c:pt idx="2">
                        <c:v>1602</c:v>
                      </c:pt>
                      <c:pt idx="3">
                        <c:v>8601</c:v>
                      </c:pt>
                      <c:pt idx="4">
                        <c:v>13801</c:v>
                      </c:pt>
                      <c:pt idx="5">
                        <c:v>1975</c:v>
                      </c:pt>
                      <c:pt idx="6">
                        <c:v>2135</c:v>
                      </c:pt>
                      <c:pt idx="7">
                        <c:v>2324</c:v>
                      </c:pt>
                      <c:pt idx="8">
                        <c:v>40238.79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538B-4878-A31B-45EF926EBD45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Summary'!$A$27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Summary'!$B$27:$L$27</c15:sqref>
                        </c15:fullRef>
                        <c15:formulaRef>
                          <c15:sqref>'GP Summary'!$B$27:$K$27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-351.59181818181787</c:v>
                      </c:pt>
                      <c:pt idx="1">
                        <c:v>29532.138181818173</c:v>
                      </c:pt>
                      <c:pt idx="2">
                        <c:v>2239.1727272727271</c:v>
                      </c:pt>
                      <c:pt idx="3">
                        <c:v>10849.454545454555</c:v>
                      </c:pt>
                      <c:pt idx="4">
                        <c:v>6449.8909090909037</c:v>
                      </c:pt>
                      <c:pt idx="5">
                        <c:v>3289.8818181818142</c:v>
                      </c:pt>
                      <c:pt idx="6">
                        <c:v>-1089.3818181818181</c:v>
                      </c:pt>
                      <c:pt idx="7">
                        <c:v>-1161.8000000000004</c:v>
                      </c:pt>
                      <c:pt idx="8">
                        <c:v>49757.764545454535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538B-4878-A31B-45EF926EBD45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Summary'!$A$28</c15:sqref>
                        </c15:formulaRef>
                      </c:ext>
                    </c:extLst>
                    <c:strCache>
                      <c:ptCount val="1"/>
                      <c:pt idx="0">
                        <c:v>IdealPOS Reseller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Summary'!$B$28:$L$28</c15:sqref>
                        </c15:fullRef>
                        <c15:formulaRef>
                          <c15:sqref>'GP Summary'!$B$28:$K$28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74247.37999999999</c:v>
                      </c:pt>
                      <c:pt idx="1">
                        <c:v>740799.37999999989</c:v>
                      </c:pt>
                      <c:pt idx="2">
                        <c:v>84684.25999999998</c:v>
                      </c:pt>
                      <c:pt idx="3">
                        <c:v>442880.75</c:v>
                      </c:pt>
                      <c:pt idx="4">
                        <c:v>535515.33999999973</c:v>
                      </c:pt>
                      <c:pt idx="5">
                        <c:v>126869.26000000002</c:v>
                      </c:pt>
                      <c:pt idx="6">
                        <c:v>39136.29</c:v>
                      </c:pt>
                      <c:pt idx="7">
                        <c:v>42223.59</c:v>
                      </c:pt>
                      <c:pt idx="8">
                        <c:v>2086356.25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538B-4878-A31B-45EF926EBD45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Summary'!$A$29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Summary'!$B$29:$L$29</c15:sqref>
                        </c15:fullRef>
                        <c15:formulaRef>
                          <c15:sqref>'GP Summary'!$B$29:$K$29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1060.4272727272726</c:v>
                      </c:pt>
                      <c:pt idx="1">
                        <c:v>10445.127272727272</c:v>
                      </c:pt>
                      <c:pt idx="2">
                        <c:v>1230.9272727272726</c:v>
                      </c:pt>
                      <c:pt idx="3">
                        <c:v>6442.0545454545454</c:v>
                      </c:pt>
                      <c:pt idx="4">
                        <c:v>8646.6181818181813</c:v>
                      </c:pt>
                      <c:pt idx="5">
                        <c:v>1821.3727272727274</c:v>
                      </c:pt>
                      <c:pt idx="6">
                        <c:v>565.55454545454506</c:v>
                      </c:pt>
                      <c:pt idx="7">
                        <c:v>585.65454545454543</c:v>
                      </c:pt>
                      <c:pt idx="8">
                        <c:v>30797.736363636359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538B-4878-A31B-45EF926EBD45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Summary'!$A$30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Summary'!$B$30:$L$30</c15:sqref>
                        </c15:fullRef>
                        <c15:formulaRef>
                          <c15:sqref>'GP Summary'!$B$30:$K$30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1287.78</c:v>
                      </c:pt>
                      <c:pt idx="1">
                        <c:v>2084.09</c:v>
                      </c:pt>
                      <c:pt idx="2">
                        <c:v>505.36</c:v>
                      </c:pt>
                      <c:pt idx="3">
                        <c:v>2954.1</c:v>
                      </c:pt>
                      <c:pt idx="4">
                        <c:v>5217.2</c:v>
                      </c:pt>
                      <c:pt idx="5">
                        <c:v>639.89</c:v>
                      </c:pt>
                      <c:pt idx="6">
                        <c:v>1148.68</c:v>
                      </c:pt>
                      <c:pt idx="7">
                        <c:v>1210.47</c:v>
                      </c:pt>
                      <c:pt idx="8">
                        <c:v>15047.569999999998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538B-4878-A31B-45EF926EBD45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Summary'!$A$31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Summary'!$B$31:$L$31</c15:sqref>
                        </c15:fullRef>
                        <c15:formulaRef>
                          <c15:sqref>'GP Summary'!$B$31:$K$31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-227.35272727272741</c:v>
                      </c:pt>
                      <c:pt idx="1">
                        <c:v>8361.0372727272716</c:v>
                      </c:pt>
                      <c:pt idx="2">
                        <c:v>725.56727272727255</c:v>
                      </c:pt>
                      <c:pt idx="3">
                        <c:v>3487.9545454545455</c:v>
                      </c:pt>
                      <c:pt idx="4">
                        <c:v>3429.4181818181814</c:v>
                      </c:pt>
                      <c:pt idx="5">
                        <c:v>1181.4827272727275</c:v>
                      </c:pt>
                      <c:pt idx="6">
                        <c:v>-583.125454545455</c:v>
                      </c:pt>
                      <c:pt idx="7">
                        <c:v>-624.8154545454546</c:v>
                      </c:pt>
                      <c:pt idx="8">
                        <c:v>15750.166363636359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538B-4878-A31B-45EF926EBD4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Summary'!$A$32</c15:sqref>
                        </c15:formulaRef>
                      </c:ext>
                    </c:extLst>
                    <c:strCache>
                      <c:ptCount val="1"/>
                      <c:pt idx="0">
                        <c:v>Oolio Platform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Summary'!$B$32:$L$32</c15:sqref>
                        </c15:fullRef>
                        <c15:formulaRef>
                          <c15:sqref>'GP Summary'!$B$32:$K$32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206020.00000000009</c:v>
                      </c:pt>
                      <c:pt idx="1">
                        <c:v>3049936.5900000003</c:v>
                      </c:pt>
                      <c:pt idx="2">
                        <c:v>358214.68000000028</c:v>
                      </c:pt>
                      <c:pt idx="3">
                        <c:v>2294382.3500000015</c:v>
                      </c:pt>
                      <c:pt idx="4">
                        <c:v>1813340.4600000007</c:v>
                      </c:pt>
                      <c:pt idx="5">
                        <c:v>538449.53000000014</c:v>
                      </c:pt>
                      <c:pt idx="6">
                        <c:v>111256.40999999999</c:v>
                      </c:pt>
                      <c:pt idx="7">
                        <c:v>118027.94000000002</c:v>
                      </c:pt>
                      <c:pt idx="8">
                        <c:v>8489616.4800000042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538B-4878-A31B-45EF926EBD4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Summary'!$A$33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Summary'!$B$33:$L$33</c15:sqref>
                        </c15:fullRef>
                        <c15:formulaRef>
                          <c15:sqref>'GP Summary'!$B$33:$K$33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3100.6090909090922</c:v>
                      </c:pt>
                      <c:pt idx="1">
                        <c:v>44542.145454545469</c:v>
                      </c:pt>
                      <c:pt idx="2">
                        <c:v>5266.8090909090888</c:v>
                      </c:pt>
                      <c:pt idx="3">
                        <c:v>33480.83636363635</c:v>
                      </c:pt>
                      <c:pt idx="4">
                        <c:v>27416.699999999993</c:v>
                      </c:pt>
                      <c:pt idx="5">
                        <c:v>7882.1545454545458</c:v>
                      </c:pt>
                      <c:pt idx="6">
                        <c:v>1597.5636363636356</c:v>
                      </c:pt>
                      <c:pt idx="7">
                        <c:v>1700.100000000001</c:v>
                      </c:pt>
                      <c:pt idx="8">
                        <c:v>124986.91818181817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538B-4878-A31B-45EF926EBD45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Summary'!$A$34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Summary'!$B$34:$L$34</c15:sqref>
                        </c15:fullRef>
                        <c15:formulaRef>
                          <c15:sqref>'GP Summary'!$B$34:$K$34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3655.3</c:v>
                      </c:pt>
                      <c:pt idx="1">
                        <c:v>14219.75</c:v>
                      </c:pt>
                      <c:pt idx="2">
                        <c:v>2749.12</c:v>
                      </c:pt>
                      <c:pt idx="3">
                        <c:v>20047.8</c:v>
                      </c:pt>
                      <c:pt idx="4">
                        <c:v>21395</c:v>
                      </c:pt>
                      <c:pt idx="5">
                        <c:v>4083.48</c:v>
                      </c:pt>
                      <c:pt idx="6">
                        <c:v>3647.08</c:v>
                      </c:pt>
                      <c:pt idx="7">
                        <c:v>3835.72</c:v>
                      </c:pt>
                      <c:pt idx="8">
                        <c:v>73633.25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538B-4878-A31B-45EF926EBD45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Summary'!$A$35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Summary'!$B$35:$L$35</c15:sqref>
                        </c15:fullRef>
                        <c15:formulaRef>
                          <c15:sqref>'GP Summary'!$B$35:$K$35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-554.69090909090801</c:v>
                      </c:pt>
                      <c:pt idx="1">
                        <c:v>30322.395454545469</c:v>
                      </c:pt>
                      <c:pt idx="2">
                        <c:v>2517.6890909090889</c:v>
                      </c:pt>
                      <c:pt idx="3">
                        <c:v>13433.036363636351</c:v>
                      </c:pt>
                      <c:pt idx="4">
                        <c:v>6021.6999999999935</c:v>
                      </c:pt>
                      <c:pt idx="5">
                        <c:v>3798.6745454545458</c:v>
                      </c:pt>
                      <c:pt idx="6">
                        <c:v>-2049.5163636363641</c:v>
                      </c:pt>
                      <c:pt idx="7">
                        <c:v>-2135.619999999999</c:v>
                      </c:pt>
                      <c:pt idx="8">
                        <c:v>51353.668181818182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538B-4878-A31B-45EF926EBD45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Summary'!$A$36</c15:sqref>
                        </c15:formulaRef>
                      </c:ext>
                    </c:extLst>
                    <c:strCache>
                      <c:ptCount val="1"/>
                      <c:pt idx="0">
                        <c:v>Oolio Pay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Summary'!$B$36:$L$36</c15:sqref>
                        </c15:fullRef>
                        <c15:formulaRef>
                          <c15:sqref>'GP Summary'!$B$36:$K$36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4644.67</c:v>
                      </c:pt>
                      <c:pt idx="1">
                        <c:v>175277.07000000004</c:v>
                      </c:pt>
                      <c:pt idx="2">
                        <c:v>18714.93</c:v>
                      </c:pt>
                      <c:pt idx="3">
                        <c:v>86946.41</c:v>
                      </c:pt>
                      <c:pt idx="4">
                        <c:v>78192.75999999998</c:v>
                      </c:pt>
                      <c:pt idx="5">
                        <c:v>22509.51</c:v>
                      </c:pt>
                      <c:pt idx="6">
                        <c:v>1067.22</c:v>
                      </c:pt>
                      <c:pt idx="7">
                        <c:v>538.85</c:v>
                      </c:pt>
                      <c:pt idx="8">
                        <c:v>387891.42000000004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538B-4878-A31B-45EF926EBD45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Summary'!$A$37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Summary'!$B$37:$L$37</c15:sqref>
                        </c15:fullRef>
                        <c15:formulaRef>
                          <c15:sqref>'GP Summary'!$B$37:$K$37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68.572727272727263</c:v>
                      </c:pt>
                      <c:pt idx="1">
                        <c:v>2587.2090909090907</c:v>
                      </c:pt>
                      <c:pt idx="2">
                        <c:v>276.0545454545454</c:v>
                      </c:pt>
                      <c:pt idx="3">
                        <c:v>1277.6181818181817</c:v>
                      </c:pt>
                      <c:pt idx="4">
                        <c:v>1154.8999999999994</c:v>
                      </c:pt>
                      <c:pt idx="5">
                        <c:v>331.32727272727266</c:v>
                      </c:pt>
                      <c:pt idx="6">
                        <c:v>15.745454545454544</c:v>
                      </c:pt>
                      <c:pt idx="7">
                        <c:v>7.9545454545454541</c:v>
                      </c:pt>
                      <c:pt idx="8">
                        <c:v>5719.3818181818169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538B-4878-A31B-45EF926EBD45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Summary'!$A$38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Summary'!$B$38:$L$38</c15:sqref>
                        </c15:fullRef>
                        <c15:formulaRef>
                          <c15:sqref>'GP Summary'!$B$38:$K$38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81.290000000000006</c:v>
                      </c:pt>
                      <c:pt idx="1">
                        <c:v>482.99</c:v>
                      </c:pt>
                      <c:pt idx="2">
                        <c:v>111.29</c:v>
                      </c:pt>
                      <c:pt idx="3">
                        <c:v>536.76</c:v>
                      </c:pt>
                      <c:pt idx="4">
                        <c:v>791.65</c:v>
                      </c:pt>
                      <c:pt idx="5">
                        <c:v>142.38</c:v>
                      </c:pt>
                      <c:pt idx="6">
                        <c:v>28.91</c:v>
                      </c:pt>
                      <c:pt idx="7">
                        <c:v>17.010000000000002</c:v>
                      </c:pt>
                      <c:pt idx="8">
                        <c:v>2192.2800000000002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538B-4878-A31B-45EF926EBD45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Summary'!$A$39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Summary'!$B$39:$L$39</c15:sqref>
                        </c15:fullRef>
                        <c15:formulaRef>
                          <c15:sqref>'GP Summary'!$B$39:$K$39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-12.717272727272743</c:v>
                      </c:pt>
                      <c:pt idx="1">
                        <c:v>2104.2190909090905</c:v>
                      </c:pt>
                      <c:pt idx="2">
                        <c:v>164.76454545454538</c:v>
                      </c:pt>
                      <c:pt idx="3">
                        <c:v>740.85818181818172</c:v>
                      </c:pt>
                      <c:pt idx="4">
                        <c:v>363.24999999999943</c:v>
                      </c:pt>
                      <c:pt idx="5">
                        <c:v>188.94727272727266</c:v>
                      </c:pt>
                      <c:pt idx="6">
                        <c:v>-13.164545454545456</c:v>
                      </c:pt>
                      <c:pt idx="7">
                        <c:v>-9.0554545454545483</c:v>
                      </c:pt>
                      <c:pt idx="8">
                        <c:v>3527.1018181818172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538B-4878-A31B-45EF926EBD45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Summary'!$A$40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Summary'!$B$40:$L$40</c15:sqref>
                        </c15:fullRef>
                        <c15:formulaRef>
                          <c15:sqref>'GP Summary'!$B$40:$K$40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120700.87000000001</c:v>
                      </c:pt>
                      <c:pt idx="1">
                        <c:v>0</c:v>
                      </c:pt>
                      <c:pt idx="2">
                        <c:v>41308.69</c:v>
                      </c:pt>
                      <c:pt idx="3">
                        <c:v>508165.40999999992</c:v>
                      </c:pt>
                      <c:pt idx="4">
                        <c:v>142675.57</c:v>
                      </c:pt>
                      <c:pt idx="5">
                        <c:v>94535.090000000011</c:v>
                      </c:pt>
                      <c:pt idx="6">
                        <c:v>160029.21</c:v>
                      </c:pt>
                      <c:pt idx="7">
                        <c:v>233001.33000000005</c:v>
                      </c:pt>
                      <c:pt idx="8">
                        <c:v>1300416.1700000002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538B-4878-A31B-45EF926EBD45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Summary'!$A$41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Summary'!$B$41:$L$41</c15:sqref>
                        </c15:fullRef>
                        <c15:formulaRef>
                          <c15:sqref>'GP Summary'!$B$41:$K$41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2236.1272727272726</c:v>
                      </c:pt>
                      <c:pt idx="1">
                        <c:v>0</c:v>
                      </c:pt>
                      <c:pt idx="2">
                        <c:v>369.08181818181822</c:v>
                      </c:pt>
                      <c:pt idx="3">
                        <c:v>4186.7363636363643</c:v>
                      </c:pt>
                      <c:pt idx="4">
                        <c:v>1265.9000000000001</c:v>
                      </c:pt>
                      <c:pt idx="5">
                        <c:v>712.52727272727259</c:v>
                      </c:pt>
                      <c:pt idx="6">
                        <c:v>1479.6090909090904</c:v>
                      </c:pt>
                      <c:pt idx="7">
                        <c:v>1767.4454545454539</c:v>
                      </c:pt>
                      <c:pt idx="8">
                        <c:v>12017.427272727273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538B-4878-A31B-45EF926EBD45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Summary'!$A$42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Summary'!$B$42:$L$42</c15:sqref>
                        </c15:fullRef>
                        <c15:formulaRef>
                          <c15:sqref>'GP Summary'!$B$42:$K$42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2142.5699999999997</c:v>
                      </c:pt>
                      <c:pt idx="1">
                        <c:v>0</c:v>
                      </c:pt>
                      <c:pt idx="2">
                        <c:v>251.15545454545455</c:v>
                      </c:pt>
                      <c:pt idx="3">
                        <c:v>2986.9818181818187</c:v>
                      </c:pt>
                      <c:pt idx="4">
                        <c:v>1298.7572727272727</c:v>
                      </c:pt>
                      <c:pt idx="5">
                        <c:v>622.91454545454542</c:v>
                      </c:pt>
                      <c:pt idx="6">
                        <c:v>1540.8772727272728</c:v>
                      </c:pt>
                      <c:pt idx="7">
                        <c:v>1346.8836363636365</c:v>
                      </c:pt>
                      <c:pt idx="8">
                        <c:v>10190.140000000001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538B-4878-A31B-45EF926EBD45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Summary'!$A$43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Summary'!$B$43:$L$43</c15:sqref>
                        </c15:fullRef>
                        <c15:formulaRef>
                          <c15:sqref>'GP Summary'!$B$43:$K$43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93.557272727272903</c:v>
                      </c:pt>
                      <c:pt idx="1">
                        <c:v>0</c:v>
                      </c:pt>
                      <c:pt idx="2">
                        <c:v>117.92636363636367</c:v>
                      </c:pt>
                      <c:pt idx="3">
                        <c:v>1199.7545454545457</c:v>
                      </c:pt>
                      <c:pt idx="4">
                        <c:v>-32.85727272727263</c:v>
                      </c:pt>
                      <c:pt idx="5">
                        <c:v>89.61272727272717</c:v>
                      </c:pt>
                      <c:pt idx="6">
                        <c:v>-61.268181818182484</c:v>
                      </c:pt>
                      <c:pt idx="7">
                        <c:v>420.56181818181744</c:v>
                      </c:pt>
                      <c:pt idx="8">
                        <c:v>1827.2872727272718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538B-4878-A31B-45EF926EBD45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Summary'!$A$44</c15:sqref>
                        </c15:formulaRef>
                      </c:ext>
                    </c:extLst>
                    <c:strCache>
                      <c:ptCount val="1"/>
                      <c:pt idx="0">
                        <c:v>Total TTV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Summary'!$B$44:$L$44</c15:sqref>
                        </c15:fullRef>
                        <c15:formulaRef>
                          <c15:sqref>'GP Summary'!$B$44:$K$44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7773747.9000000004</c:v>
                      </c:pt>
                      <c:pt idx="1">
                        <c:v>46435674.090000018</c:v>
                      </c:pt>
                      <c:pt idx="2">
                        <c:v>5845626.4700000016</c:v>
                      </c:pt>
                      <c:pt idx="3">
                        <c:v>32721693.030000001</c:v>
                      </c:pt>
                      <c:pt idx="4">
                        <c:v>37104582.900000006</c:v>
                      </c:pt>
                      <c:pt idx="5">
                        <c:v>8618063.129999999</c:v>
                      </c:pt>
                      <c:pt idx="6">
                        <c:v>3623457.5800000005</c:v>
                      </c:pt>
                      <c:pt idx="7">
                        <c:v>3491492.3000000003</c:v>
                      </c:pt>
                      <c:pt idx="8">
                        <c:v>145615141.97000006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538B-4878-A31B-45EF926EBD45}"/>
                  </c:ext>
                </c:extLst>
              </c15:ser>
            </c15:filteredBarSeries>
            <c15:filteredB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Summary'!$B$48:$L$48</c15:sqref>
                        </c15:fullRef>
                        <c15:formulaRef>
                          <c15:sqref>'GP Summary'!$B$48:$K$48</c15:sqref>
                        </c15:formulaRef>
                      </c:ext>
                    </c:extLst>
                    <c:numCache>
                      <c:formatCode>0.00%</c:formatCode>
                      <c:ptCount val="9"/>
                      <c:pt idx="0">
                        <c:v>-1.1842481108228152E-2</c:v>
                      </c:pt>
                      <c:pt idx="1">
                        <c:v>0.54725994460303129</c:v>
                      </c:pt>
                      <c:pt idx="2">
                        <c:v>5.0147129965561005E-2</c:v>
                      </c:pt>
                      <c:pt idx="3">
                        <c:v>0.26069485039676038</c:v>
                      </c:pt>
                      <c:pt idx="4">
                        <c:v>0.18291111319815903</c:v>
                      </c:pt>
                      <c:pt idx="5">
                        <c:v>7.8245143081347501E-2</c:v>
                      </c:pt>
                      <c:pt idx="6">
                        <c:v>-5.4965979758167492E-2</c:v>
                      </c:pt>
                      <c:pt idx="7">
                        <c:v>-5.2449720378463606E-2</c:v>
                      </c:pt>
                      <c:pt idx="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920-453A-A6F6-587FC9050EC9}"/>
                  </c:ext>
                </c:extLst>
              </c15:ser>
            </c15:filteredBarSeries>
          </c:ext>
        </c:extLst>
      </c:bar3DChart>
      <c:catAx>
        <c:axId val="12642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288688"/>
        <c:crosses val="autoZero"/>
        <c:auto val="1"/>
        <c:lblAlgn val="ctr"/>
        <c:lblOffset val="100"/>
        <c:noMultiLvlLbl val="0"/>
      </c:catAx>
      <c:valAx>
        <c:axId val="12642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2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GP % by Card</a:t>
            </a:r>
            <a:r>
              <a:rPr lang="en-US" sz="1400" b="1" baseline="0"/>
              <a:t> Type Group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08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4"/>
          <c:order val="44"/>
          <c:tx>
            <c:strRef>
              <c:f>'GP Summary'!$O$48</c:f>
              <c:strCache>
                <c:ptCount val="1"/>
                <c:pt idx="0">
                  <c:v>GP%</c:v>
                </c:pt>
              </c:strCache>
            </c:strRef>
          </c:tx>
          <c:explosion val="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714-41D1-BAFB-58BBD9013796}"/>
              </c:ext>
            </c:extLst>
          </c:dPt>
          <c:dPt>
            <c:idx val="1"/>
            <c:bubble3D val="0"/>
            <c:explosion val="5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714-41D1-BAFB-58BBD90137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714-41D1-BAFB-58BBD90137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714-41D1-BAFB-58BBD90137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5D1-4320-B26E-E96FDDF58797}"/>
              </c:ext>
            </c:extLst>
          </c:dPt>
          <c:dLbls>
            <c:dLbl>
              <c:idx val="0"/>
              <c:layout>
                <c:manualLayout>
                  <c:x val="-9.7116843702579669E-2"/>
                  <c:y val="-2.250351617440235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14-41D1-BAFB-58BBD9013796}"/>
                </c:ext>
              </c:extLst>
            </c:dLbl>
            <c:dLbl>
              <c:idx val="3"/>
              <c:layout>
                <c:manualLayout>
                  <c:x val="5.8674759736975217E-2"/>
                  <c:y val="1.969057665260176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14-41D1-BAFB-58BBD901379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'GP Summary'!$P$2:$U$2</c15:sqref>
                  </c15:fullRef>
                </c:ext>
              </c:extLst>
              <c:f>'GP Summary'!$P$2:$T$2</c:f>
              <c:strCache>
                <c:ptCount val="5"/>
                <c:pt idx="1">
                  <c:v>Amex/JCB</c:v>
                </c:pt>
                <c:pt idx="2">
                  <c:v>EFTPOS &amp; Debit</c:v>
                </c:pt>
                <c:pt idx="3">
                  <c:v>Credit Cards</c:v>
                </c:pt>
                <c:pt idx="4">
                  <c:v>VC/MC Int.Credit &amp; Debit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'GP Summary'!$P$48:$U$48</c15:sqref>
                  </c15:fullRef>
                </c:ext>
              </c:extLst>
              <c:f>'GP Summary'!$P$48:$T$48</c:f>
              <c:numCache>
                <c:formatCode>0.00%</c:formatCode>
                <c:ptCount val="5"/>
                <c:pt idx="1">
                  <c:v>-1.1842481108228154E-2</c:v>
                </c:pt>
                <c:pt idx="2">
                  <c:v>0.88619993808113928</c:v>
                </c:pt>
                <c:pt idx="3">
                  <c:v>0.23305824316372009</c:v>
                </c:pt>
                <c:pt idx="4">
                  <c:v>-0.10741570013663114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D714-41D1-BAFB-58BBD9013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'GP Summary'!$O$4</c15:sqref>
                        </c15:formulaRef>
                      </c:ext>
                    </c:extLst>
                    <c:strCache>
                      <c:ptCount val="1"/>
                      <c:pt idx="0">
                        <c:v>Bepoz - GTV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'GP Summary'!$P$4:$U$4</c15:sqref>
                        </c15:fullRef>
                        <c15:formulaRef>
                          <c15:sqref>'GP Summary'!$P$4:$T$4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3513336.72</c:v>
                      </c:pt>
                      <c:pt idx="2">
                        <c:v>41310523.730000012</c:v>
                      </c:pt>
                      <c:pt idx="3">
                        <c:v>19396322.000000015</c:v>
                      </c:pt>
                      <c:pt idx="4">
                        <c:v>3628028.5900000003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1-D714-41D1-BAFB-58BBD901379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Summary'!$O$5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Summary'!$P$5:$U$5</c15:sqref>
                        </c15:fullRef>
                        <c15:formulaRef>
                          <c15:sqref>'GP Summary'!$P$5:$T$5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54878.336363636379</c:v>
                      </c:pt>
                      <c:pt idx="2">
                        <c:v>581830.29090909078</c:v>
                      </c:pt>
                      <c:pt idx="3">
                        <c:v>290848.60000000015</c:v>
                      </c:pt>
                      <c:pt idx="4">
                        <c:v>52939.799999999988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A-D714-41D1-BAFB-58BBD9013796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Summary'!$O$6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Summary'!$P$6:$U$6</c15:sqref>
                        </c15:fullRef>
                        <c15:formulaRef>
                          <c15:sqref>'GP Summary'!$P$6:$T$6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59549.25</c:v>
                      </c:pt>
                      <c:pt idx="2">
                        <c:v>189187.14</c:v>
                      </c:pt>
                      <c:pt idx="3">
                        <c:v>185464.75</c:v>
                      </c:pt>
                      <c:pt idx="4">
                        <c:v>110210.47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3-D714-41D1-BAFB-58BBD9013796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Summary'!$O$7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Summary'!$P$7:$U$7</c15:sqref>
                        </c15:fullRef>
                        <c15:formulaRef>
                          <c15:sqref>'GP Summary'!$P$7:$T$7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-4670.9136363636208</c:v>
                      </c:pt>
                      <c:pt idx="2">
                        <c:v>392643.15090909076</c:v>
                      </c:pt>
                      <c:pt idx="3">
                        <c:v>105383.85000000012</c:v>
                      </c:pt>
                      <c:pt idx="4">
                        <c:v>-57270.670000000013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C-D714-41D1-BAFB-58BBD9013796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Summary'!$O$8</c15:sqref>
                        </c15:formulaRef>
                      </c:ext>
                    </c:extLst>
                    <c:strCache>
                      <c:ptCount val="1"/>
                      <c:pt idx="0">
                        <c:v>DeliverIT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Summary'!$P$8:$U$8</c15:sqref>
                        </c15:fullRef>
                        <c15:formulaRef>
                          <c15:sqref>'GP Summary'!$P$8:$T$8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28971.789999999994</c:v>
                      </c:pt>
                      <c:pt idx="2">
                        <c:v>1698980.9800000004</c:v>
                      </c:pt>
                      <c:pt idx="3">
                        <c:v>445140.21000000014</c:v>
                      </c:pt>
                      <c:pt idx="4">
                        <c:v>24148.6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35-D714-41D1-BAFB-58BBD9013796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Summary'!$O$9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Summary'!$P$9:$U$9</c15:sqref>
                        </c15:fullRef>
                        <c15:formulaRef>
                          <c15:sqref>'GP Summary'!$P$9:$T$9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427.90909090909099</c:v>
                      </c:pt>
                      <c:pt idx="2">
                        <c:v>25092.063636363626</c:v>
                      </c:pt>
                      <c:pt idx="3">
                        <c:v>6577.5545454545472</c:v>
                      </c:pt>
                      <c:pt idx="4">
                        <c:v>366.39090909090919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3E-D714-41D1-BAFB-58BBD9013796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Summary'!$O$10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0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2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4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6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Summary'!$P$10:$U$10</c15:sqref>
                        </c15:fullRef>
                        <c15:formulaRef>
                          <c15:sqref>'GP Summary'!$P$10:$T$10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501.43</c:v>
                      </c:pt>
                      <c:pt idx="2">
                        <c:v>7183.4000000000005</c:v>
                      </c:pt>
                      <c:pt idx="3">
                        <c:v>4263.78</c:v>
                      </c:pt>
                      <c:pt idx="4">
                        <c:v>802.36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47-D714-41D1-BAFB-58BBD9013796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Summary'!$O$11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Summary'!$P$11:$U$11</c15:sqref>
                        </c15:fullRef>
                        <c15:formulaRef>
                          <c15:sqref>'GP Summary'!$P$11:$T$11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-73.520909090909015</c:v>
                      </c:pt>
                      <c:pt idx="2">
                        <c:v>17908.663636363628</c:v>
                      </c:pt>
                      <c:pt idx="3">
                        <c:v>2313.774545454547</c:v>
                      </c:pt>
                      <c:pt idx="4">
                        <c:v>-435.96909090909082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50-D714-41D1-BAFB-58BBD9013796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Summary'!$O$12</c15:sqref>
                        </c15:formulaRef>
                      </c:ext>
                    </c:extLst>
                    <c:strCache>
                      <c:ptCount val="1"/>
                      <c:pt idx="0">
                        <c:v>Ordermate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2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4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6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8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Summary'!$P$12:$U$12</c15:sqref>
                        </c15:fullRef>
                        <c15:formulaRef>
                          <c15:sqref>'GP Summary'!$P$12:$T$12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3451836.4899999993</c:v>
                      </c:pt>
                      <c:pt idx="2">
                        <c:v>27896771.919999994</c:v>
                      </c:pt>
                      <c:pt idx="3">
                        <c:v>16254489.419999996</c:v>
                      </c:pt>
                      <c:pt idx="4">
                        <c:v>2308449.62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59-D714-41D1-BAFB-58BBD9013796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Summary'!$O$13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Summary'!$P$13:$U$13</c15:sqref>
                        </c15:fullRef>
                        <c15:formulaRef>
                          <c15:sqref>'GP Summary'!$P$13:$T$13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52869.518181818159</c:v>
                      </c:pt>
                      <c:pt idx="2">
                        <c:v>402564.57272727264</c:v>
                      </c:pt>
                      <c:pt idx="3">
                        <c:v>235420.67272727276</c:v>
                      </c:pt>
                      <c:pt idx="4">
                        <c:v>33621.609090909071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62-D714-41D1-BAFB-58BBD9013796}"/>
                  </c:ext>
                </c:extLst>
              </c15:ser>
            </c15:filteredPieSeries>
            <c15:filteredPi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Summary'!$O$14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4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6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8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A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7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Summary'!$P$14:$U$14</c15:sqref>
                        </c15:fullRef>
                        <c15:formulaRef>
                          <c15:sqref>'GP Summary'!$P$14:$T$14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58306.29</c:v>
                      </c:pt>
                      <c:pt idx="2">
                        <c:v>108986</c:v>
                      </c:pt>
                      <c:pt idx="3">
                        <c:v>151607</c:v>
                      </c:pt>
                      <c:pt idx="4">
                        <c:v>67889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6B-D714-41D1-BAFB-58BBD9013796}"/>
                  </c:ext>
                </c:extLst>
              </c15:ser>
            </c15:filteredPieSeries>
            <c15:filteredPi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Summary'!$O$15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1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3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1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Summary'!$P$15:$U$15</c15:sqref>
                        </c15:fullRef>
                        <c15:formulaRef>
                          <c15:sqref>'GP Summary'!$P$15:$T$15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-5436.7718181818418</c:v>
                      </c:pt>
                      <c:pt idx="2">
                        <c:v>293578.57272727264</c:v>
                      </c:pt>
                      <c:pt idx="3">
                        <c:v>83813.672727272773</c:v>
                      </c:pt>
                      <c:pt idx="4">
                        <c:v>-34267.390909090929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74-D714-41D1-BAFB-58BBD9013796}"/>
                  </c:ext>
                </c:extLst>
              </c15:ser>
            </c15:filteredPieSeries>
            <c15:filteredPi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Summary'!$O$16</c15:sqref>
                        </c15:formulaRef>
                      </c:ext>
                    </c:extLst>
                    <c:strCache>
                      <c:ptCount val="1"/>
                      <c:pt idx="0">
                        <c:v>SwiftPOS 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6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8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A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C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B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Summary'!$P$16:$U$16</c15:sqref>
                        </c15:fullRef>
                        <c15:formulaRef>
                          <c15:sqref>'GP Summary'!$P$16:$T$16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204984.90000000002</c:v>
                      </c:pt>
                      <c:pt idx="2">
                        <c:v>4184642.6700000018</c:v>
                      </c:pt>
                      <c:pt idx="3">
                        <c:v>1981047.3900000004</c:v>
                      </c:pt>
                      <c:pt idx="4">
                        <c:v>289740.16000000003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7D-D714-41D1-BAFB-58BBD9013796}"/>
                  </c:ext>
                </c:extLst>
              </c15:ser>
            </c15:filteredPieSeries>
            <c15:filteredPi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Summary'!$O$17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F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1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3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5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5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Summary'!$P$17:$U$17</c15:sqref>
                        </c15:fullRef>
                        <c15:formulaRef>
                          <c15:sqref>'GP Summary'!$P$17:$T$17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3346.9545454545455</c:v>
                      </c:pt>
                      <c:pt idx="2">
                        <c:v>67710.745454545438</c:v>
                      </c:pt>
                      <c:pt idx="3">
                        <c:v>30997.68181818182</c:v>
                      </c:pt>
                      <c:pt idx="4">
                        <c:v>4498.0272727272677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86-D714-41D1-BAFB-58BBD9013796}"/>
                  </c:ext>
                </c:extLst>
              </c15:ser>
            </c15:filteredPieSeries>
            <c15:filteredPi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Summary'!$O$18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8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A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C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E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F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Summary'!$P$18:$U$18</c15:sqref>
                        </c15:fullRef>
                        <c15:formulaRef>
                          <c15:sqref>'GP Summary'!$P$18:$T$18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3551.69</c:v>
                      </c:pt>
                      <c:pt idx="2">
                        <c:v>23145.449999999997</c:v>
                      </c:pt>
                      <c:pt idx="3">
                        <c:v>18740.419999999998</c:v>
                      </c:pt>
                      <c:pt idx="4">
                        <c:v>9299.1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8F-D714-41D1-BAFB-58BBD9013796}"/>
                  </c:ext>
                </c:extLst>
              </c15:ser>
            </c15:filteredPieSeries>
            <c15:filteredPi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Summary'!$O$19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1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3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5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7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9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Summary'!$P$19:$U$19</c15:sqref>
                        </c15:fullRef>
                        <c15:formulaRef>
                          <c15:sqref>'GP Summary'!$P$19:$T$19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-204.73545454545456</c:v>
                      </c:pt>
                      <c:pt idx="2">
                        <c:v>44565.295454545449</c:v>
                      </c:pt>
                      <c:pt idx="3">
                        <c:v>12257.261818181818</c:v>
                      </c:pt>
                      <c:pt idx="4">
                        <c:v>-4801.0727272727327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98-D714-41D1-BAFB-58BBD9013796}"/>
                  </c:ext>
                </c:extLst>
              </c15:ser>
            </c15:filteredPieSeries>
            <c15:filteredPi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Summary'!$O$20</c15:sqref>
                        </c15:formulaRef>
                      </c:ext>
                    </c:extLst>
                    <c:strCache>
                      <c:ptCount val="1"/>
                      <c:pt idx="0">
                        <c:v>SwiftPOS Reseller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A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C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E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0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3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Summary'!$P$20:$U$20</c15:sqref>
                        </c15:fullRef>
                        <c15:formulaRef>
                          <c15:sqref>'GP Summary'!$P$20:$T$20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10150.43</c:v>
                      </c:pt>
                      <c:pt idx="2">
                        <c:v>267596.95</c:v>
                      </c:pt>
                      <c:pt idx="3">
                        <c:v>147483.14000000001</c:v>
                      </c:pt>
                      <c:pt idx="4">
                        <c:v>6189.82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A1-D714-41D1-BAFB-58BBD9013796}"/>
                  </c:ext>
                </c:extLst>
              </c15:ser>
            </c15:filteredPieSeries>
            <c15:filteredPi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Summary'!$O$21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3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5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7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9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D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Summary'!$P$21:$U$21</c15:sqref>
                        </c15:fullRef>
                        <c15:formulaRef>
                          <c15:sqref>'GP Summary'!$P$21:$T$21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134.00909090909087</c:v>
                      </c:pt>
                      <c:pt idx="2">
                        <c:v>3576.4545454545455</c:v>
                      </c:pt>
                      <c:pt idx="3">
                        <c:v>2010.3999999999994</c:v>
                      </c:pt>
                      <c:pt idx="4">
                        <c:v>85.84545454545453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AA-D714-41D1-BAFB-58BBD9013796}"/>
                  </c:ext>
                </c:extLst>
              </c15:ser>
            </c15:filteredPieSeries>
            <c15:filteredPi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Summary'!$O$22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C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E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0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2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7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Summary'!$P$22:$U$22</c15:sqref>
                        </c15:fullRef>
                        <c15:formulaRef>
                          <c15:sqref>'GP Summary'!$P$22:$T$22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183.9</c:v>
                      </c:pt>
                      <c:pt idx="2">
                        <c:v>1131.27</c:v>
                      </c:pt>
                      <c:pt idx="3">
                        <c:v>1681.01</c:v>
                      </c:pt>
                      <c:pt idx="4">
                        <c:v>209.68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B3-D714-41D1-BAFB-58BBD9013796}"/>
                  </c:ext>
                </c:extLst>
              </c15:ser>
            </c15:filteredPieSeries>
            <c15:filteredPi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Summary'!$O$23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5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7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9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B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1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Summary'!$P$23:$U$23</c15:sqref>
                        </c15:fullRef>
                        <c15:formulaRef>
                          <c15:sqref>'GP Summary'!$P$23:$T$23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-49.890909090909133</c:v>
                      </c:pt>
                      <c:pt idx="2">
                        <c:v>2445.184545454546</c:v>
                      </c:pt>
                      <c:pt idx="3">
                        <c:v>329.38999999999942</c:v>
                      </c:pt>
                      <c:pt idx="4">
                        <c:v>-123.83454545454546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BC-D714-41D1-BAFB-58BBD9013796}"/>
                  </c:ext>
                </c:extLst>
              </c15:ser>
            </c15:filteredPieSeries>
            <c15:filteredPi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Summary'!$O$24</c15:sqref>
                        </c15:formulaRef>
                      </c:ext>
                    </c:extLst>
                    <c:strCache>
                      <c:ptCount val="1"/>
                      <c:pt idx="0">
                        <c:v>IdealPOS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E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0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2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4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B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Summary'!$P$24:$U$24</c15:sqref>
                        </c15:fullRef>
                        <c15:formulaRef>
                          <c15:sqref>'GP Summary'!$P$24:$T$24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158854.65000000002</c:v>
                      </c:pt>
                      <c:pt idx="2">
                        <c:v>4336162.6500000004</c:v>
                      </c:pt>
                      <c:pt idx="3">
                        <c:v>1653080.52</c:v>
                      </c:pt>
                      <c:pt idx="4">
                        <c:v>153112.24999999997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C5-D714-41D1-BAFB-58BBD9013796}"/>
                  </c:ext>
                </c:extLst>
              </c15:ser>
            </c15:filteredPieSeries>
            <c15:filteredPi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Summary'!$O$25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7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9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B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D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5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Summary'!$P$25:$U$25</c15:sqref>
                        </c15:fullRef>
                        <c15:formulaRef>
                          <c15:sqref>'GP Summary'!$P$25:$T$25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2323.318181818182</c:v>
                      </c:pt>
                      <c:pt idx="2">
                        <c:v>61373.354545454546</c:v>
                      </c:pt>
                      <c:pt idx="3">
                        <c:v>24092.063636363629</c:v>
                      </c:pt>
                      <c:pt idx="4">
                        <c:v>2207.8181818181815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CE-D714-41D1-BAFB-58BBD9013796}"/>
                  </c:ext>
                </c:extLst>
              </c15:ser>
            </c15:filteredPieSeries>
            <c15:filteredPi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Summary'!$O$26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0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2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4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6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F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Summary'!$P$26:$U$26</c15:sqref>
                        </c15:fullRef>
                        <c15:formulaRef>
                          <c15:sqref>'GP Summary'!$P$26:$T$26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2674.91</c:v>
                      </c:pt>
                      <c:pt idx="2">
                        <c:v>17701.88</c:v>
                      </c:pt>
                      <c:pt idx="3">
                        <c:v>15403</c:v>
                      </c:pt>
                      <c:pt idx="4">
                        <c:v>4459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D7-D714-41D1-BAFB-58BBD9013796}"/>
                  </c:ext>
                </c:extLst>
              </c15:ser>
            </c15:filteredPieSeries>
            <c15:filteredPi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Summary'!$O$27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9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B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D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F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9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Summary'!$P$27:$U$27</c15:sqref>
                        </c15:fullRef>
                        <c15:formulaRef>
                          <c15:sqref>'GP Summary'!$P$27:$T$27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-351.59181818181787</c:v>
                      </c:pt>
                      <c:pt idx="2">
                        <c:v>43671.474545454541</c:v>
                      </c:pt>
                      <c:pt idx="3">
                        <c:v>8689.0636363636313</c:v>
                      </c:pt>
                      <c:pt idx="4">
                        <c:v>-2251.1818181818185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E0-D714-41D1-BAFB-58BBD9013796}"/>
                  </c:ext>
                </c:extLst>
              </c15:ser>
            </c15:filteredPieSeries>
            <c15:filteredPi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Summary'!$O$28</c15:sqref>
                        </c15:formulaRef>
                      </c:ext>
                    </c:extLst>
                    <c:strCache>
                      <c:ptCount val="1"/>
                      <c:pt idx="0">
                        <c:v>IdealPOS Reseller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2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4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6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8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3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Summary'!$P$28:$U$28</c15:sqref>
                        </c15:fullRef>
                        <c15:formulaRef>
                          <c15:sqref>'GP Summary'!$P$28:$T$28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74247.37999999999</c:v>
                      </c:pt>
                      <c:pt idx="2">
                        <c:v>1310549.3899999999</c:v>
                      </c:pt>
                      <c:pt idx="3">
                        <c:v>620199.59999999974</c:v>
                      </c:pt>
                      <c:pt idx="4">
                        <c:v>81359.88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E9-D714-41D1-BAFB-58BBD9013796}"/>
                  </c:ext>
                </c:extLst>
              </c15:ser>
            </c15:filteredPieSeries>
            <c15:filteredPi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Summary'!$O$29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B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D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F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1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D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Summary'!$P$29:$U$29</c15:sqref>
                        </c15:fullRef>
                        <c15:formulaRef>
                          <c15:sqref>'GP Summary'!$P$29:$T$29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1060.4272727272726</c:v>
                      </c:pt>
                      <c:pt idx="2">
                        <c:v>18708.554545454543</c:v>
                      </c:pt>
                      <c:pt idx="3">
                        <c:v>9877.545454545454</c:v>
                      </c:pt>
                      <c:pt idx="4">
                        <c:v>1151.2090909090905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F2-D714-41D1-BAFB-58BBD9013796}"/>
                  </c:ext>
                </c:extLst>
              </c15:ser>
            </c15:filteredPieSeries>
            <c15:filteredPi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Summary'!$O$30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4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6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8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A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7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Summary'!$P$30:$U$30</c15:sqref>
                        </c15:fullRef>
                        <c15:formulaRef>
                          <c15:sqref>'GP Summary'!$P$30:$T$30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1287.78</c:v>
                      </c:pt>
                      <c:pt idx="2">
                        <c:v>5678.0800000000008</c:v>
                      </c:pt>
                      <c:pt idx="3">
                        <c:v>5722.5599999999995</c:v>
                      </c:pt>
                      <c:pt idx="4">
                        <c:v>2359.15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FB-D714-41D1-BAFB-58BBD9013796}"/>
                  </c:ext>
                </c:extLst>
              </c15:ser>
            </c15:filteredPieSeries>
            <c15:filteredPi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Summary'!$O$31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D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F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1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3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1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Summary'!$P$31:$U$31</c15:sqref>
                        </c15:fullRef>
                        <c15:formulaRef>
                          <c15:sqref>'GP Summary'!$P$31:$T$31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-227.35272727272741</c:v>
                      </c:pt>
                      <c:pt idx="2">
                        <c:v>13030.474545454545</c:v>
                      </c:pt>
                      <c:pt idx="3">
                        <c:v>4154.9854545454536</c:v>
                      </c:pt>
                      <c:pt idx="4">
                        <c:v>-1207.9409090909096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04-D714-41D1-BAFB-58BBD9013796}"/>
                  </c:ext>
                </c:extLst>
              </c15:ser>
            </c15:filteredPieSeries>
            <c15:filteredPi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Summary'!$O$32</c15:sqref>
                        </c15:formulaRef>
                      </c:ext>
                    </c:extLst>
                    <c:strCache>
                      <c:ptCount val="1"/>
                      <c:pt idx="0">
                        <c:v>Oolio Platform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6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8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A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C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B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Summary'!$P$32:$U$32</c15:sqref>
                        </c15:fullRef>
                        <c15:formulaRef>
                          <c15:sqref>'GP Summary'!$P$32:$T$32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206020.00000000009</c:v>
                      </c:pt>
                      <c:pt idx="2">
                        <c:v>5882768.4700000016</c:v>
                      </c:pt>
                      <c:pt idx="3">
                        <c:v>2171555.1400000011</c:v>
                      </c:pt>
                      <c:pt idx="4">
                        <c:v>229284.35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0D-D714-41D1-BAFB-58BBD9013796}"/>
                  </c:ext>
                </c:extLst>
              </c15:ser>
            </c15:filteredPieSeries>
            <c15:filteredPi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Summary'!$O$33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F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1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3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5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5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Summary'!$P$33:$U$33</c15:sqref>
                        </c15:fullRef>
                        <c15:formulaRef>
                          <c15:sqref>'GP Summary'!$P$33:$T$33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3100.6090909090922</c:v>
                      </c:pt>
                      <c:pt idx="2">
                        <c:v>85905.136363636353</c:v>
                      </c:pt>
                      <c:pt idx="3">
                        <c:v>32683.509090909083</c:v>
                      </c:pt>
                      <c:pt idx="4">
                        <c:v>3297.6636363636367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16-D714-41D1-BAFB-58BBD9013796}"/>
                  </c:ext>
                </c:extLst>
              </c15:ser>
            </c15:filteredPieSeries>
            <c15:filteredPi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Summary'!$O$34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8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A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C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E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F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Summary'!$P$34:$U$34</c15:sqref>
                        </c15:fullRef>
                        <c15:formulaRef>
                          <c15:sqref>'GP Summary'!$P$34:$T$34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3655.3</c:v>
                      </c:pt>
                      <c:pt idx="2">
                        <c:v>38351.030000000006</c:v>
                      </c:pt>
                      <c:pt idx="3">
                        <c:v>24144.12</c:v>
                      </c:pt>
                      <c:pt idx="4">
                        <c:v>7482.7999999999993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1F-D714-41D1-BAFB-58BBD9013796}"/>
                  </c:ext>
                </c:extLst>
              </c15:ser>
            </c15:filteredPieSeries>
            <c15:filteredPi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Summary'!$O$35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1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3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5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7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9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Summary'!$P$35:$U$35</c15:sqref>
                        </c15:fullRef>
                        <c15:formulaRef>
                          <c15:sqref>'GP Summary'!$P$35:$T$35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-554.69090909090801</c:v>
                      </c:pt>
                      <c:pt idx="2">
                        <c:v>47554.106363636369</c:v>
                      </c:pt>
                      <c:pt idx="3">
                        <c:v>8539.3890909090824</c:v>
                      </c:pt>
                      <c:pt idx="4">
                        <c:v>-4185.1363636363631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28-D714-41D1-BAFB-58BBD9013796}"/>
                  </c:ext>
                </c:extLst>
              </c15:ser>
            </c15:filteredPieSeries>
            <c15:filteredPi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Summary'!$O$36</c15:sqref>
                        </c15:formulaRef>
                      </c:ext>
                    </c:extLst>
                    <c:strCache>
                      <c:ptCount val="1"/>
                      <c:pt idx="0">
                        <c:v>Oolio Pay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A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C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E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0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3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Summary'!$P$36:$U$36</c15:sqref>
                        </c15:fullRef>
                        <c15:formulaRef>
                          <c15:sqref>'GP Summary'!$P$36:$T$36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4644.67</c:v>
                      </c:pt>
                      <c:pt idx="2">
                        <c:v>284732.99000000005</c:v>
                      </c:pt>
                      <c:pt idx="3">
                        <c:v>96907.689999999973</c:v>
                      </c:pt>
                      <c:pt idx="4">
                        <c:v>1606.0700000000002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31-D714-41D1-BAFB-58BBD9013796}"/>
                  </c:ext>
                </c:extLst>
              </c15:ser>
            </c15:filteredPieSeries>
            <c15:filteredPi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Summary'!$O$37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3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5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7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9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D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Summary'!$P$37:$U$37</c15:sqref>
                        </c15:fullRef>
                        <c15:formulaRef>
                          <c15:sqref>'GP Summary'!$P$37:$T$37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68.572727272727263</c:v>
                      </c:pt>
                      <c:pt idx="2">
                        <c:v>4196.1545454545449</c:v>
                      </c:pt>
                      <c:pt idx="3">
                        <c:v>1430.9545454545448</c:v>
                      </c:pt>
                      <c:pt idx="4">
                        <c:v>23.7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3A-D714-41D1-BAFB-58BBD9013796}"/>
                  </c:ext>
                </c:extLst>
              </c15:ser>
            </c15:filteredPieSeries>
            <c15:filteredPi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Summary'!$O$38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C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E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0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2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7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Summary'!$P$38:$U$38</c15:sqref>
                        </c15:fullRef>
                        <c15:formulaRef>
                          <c15:sqref>'GP Summary'!$P$38:$T$38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81.290000000000006</c:v>
                      </c:pt>
                      <c:pt idx="2">
                        <c:v>1162.1300000000001</c:v>
                      </c:pt>
                      <c:pt idx="3">
                        <c:v>902.93999999999994</c:v>
                      </c:pt>
                      <c:pt idx="4">
                        <c:v>45.92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43-D714-41D1-BAFB-58BBD9013796}"/>
                  </c:ext>
                </c:extLst>
              </c15:ser>
            </c15:filteredPieSeries>
            <c15:filteredPi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Summary'!$O$39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5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7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9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B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1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Summary'!$P$39:$U$39</c15:sqref>
                        </c15:fullRef>
                        <c15:formulaRef>
                          <c15:sqref>'GP Summary'!$P$39:$T$39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-12.717272727272743</c:v>
                      </c:pt>
                      <c:pt idx="2">
                        <c:v>3034.0245454545452</c:v>
                      </c:pt>
                      <c:pt idx="3">
                        <c:v>528.01454545454476</c:v>
                      </c:pt>
                      <c:pt idx="4">
                        <c:v>-22.220000000000006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4C-D714-41D1-BAFB-58BBD9013796}"/>
                  </c:ext>
                </c:extLst>
              </c15:ser>
            </c15:filteredPieSeries>
            <c15:filteredPi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Summary'!$O$40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E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0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2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4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B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Summary'!$P$40:$U$40</c15:sqref>
                        </c15:fullRef>
                        <c15:formulaRef>
                          <c15:sqref>'GP Summary'!$P$40:$T$40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120700.87000000001</c:v>
                      </c:pt>
                      <c:pt idx="2">
                        <c:v>602700.49999999988</c:v>
                      </c:pt>
                      <c:pt idx="3">
                        <c:v>183984.26</c:v>
                      </c:pt>
                      <c:pt idx="4">
                        <c:v>393030.54000000004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55-D714-41D1-BAFB-58BBD9013796}"/>
                  </c:ext>
                </c:extLst>
              </c15:ser>
            </c15:filteredPieSeries>
            <c15:filteredPi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Summary'!$O$41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7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9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B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D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5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Summary'!$P$41:$U$41</c15:sqref>
                        </c15:fullRef>
                        <c15:formulaRef>
                          <c15:sqref>'GP Summary'!$P$41:$T$41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2236.1272727272726</c:v>
                      </c:pt>
                      <c:pt idx="2">
                        <c:v>4899.2636363636366</c:v>
                      </c:pt>
                      <c:pt idx="3">
                        <c:v>1634.9818181818182</c:v>
                      </c:pt>
                      <c:pt idx="4">
                        <c:v>3247.0545454545445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5E-D714-41D1-BAFB-58BBD9013796}"/>
                  </c:ext>
                </c:extLst>
              </c15:ser>
            </c15:filteredPieSeries>
            <c15:filteredPi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Summary'!$O$42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0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2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4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6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F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Summary'!$P$42:$U$42</c15:sqref>
                        </c15:fullRef>
                        <c15:formulaRef>
                          <c15:sqref>'GP Summary'!$P$42:$T$42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2142.5699999999997</c:v>
                      </c:pt>
                      <c:pt idx="2">
                        <c:v>3609.8963636363642</c:v>
                      </c:pt>
                      <c:pt idx="3">
                        <c:v>1549.9127272727274</c:v>
                      </c:pt>
                      <c:pt idx="4">
                        <c:v>2887.7609090909091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67-D714-41D1-BAFB-58BBD9013796}"/>
                  </c:ext>
                </c:extLst>
              </c15:ser>
            </c15:filteredPieSeries>
            <c15:filteredPi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Summary'!$O$43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9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B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D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F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9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Summary'!$P$43:$U$43</c15:sqref>
                        </c15:fullRef>
                        <c15:formulaRef>
                          <c15:sqref>'GP Summary'!$P$43:$T$43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93.557272727272903</c:v>
                      </c:pt>
                      <c:pt idx="2">
                        <c:v>1289.3672727272728</c:v>
                      </c:pt>
                      <c:pt idx="3">
                        <c:v>85.069090909091045</c:v>
                      </c:pt>
                      <c:pt idx="4">
                        <c:v>359.29363636363496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70-D714-41D1-BAFB-58BBD9013796}"/>
                  </c:ext>
                </c:extLst>
              </c15:ser>
            </c15:filteredPieSeries>
            <c15:filteredPi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Summary'!$O$44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2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4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6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8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3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Summary'!$P$44:$U$44</c15:sqref>
                        </c15:fullRef>
                        <c15:formulaRef>
                          <c15:sqref>'GP Summary'!$P$44:$T$44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7773747.9000000004</c:v>
                      </c:pt>
                      <c:pt idx="2">
                        <c:v>87775430.250000015</c:v>
                      </c:pt>
                      <c:pt idx="3">
                        <c:v>42950209.370000005</c:v>
                      </c:pt>
                      <c:pt idx="4">
                        <c:v>7114949.8800000008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79-D714-41D1-BAFB-58BBD9013796}"/>
                  </c:ext>
                </c:extLst>
              </c15:ser>
            </c15:filteredPieSeries>
            <c15:filteredPi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Summary'!$O$45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B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D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F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1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D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Summary'!$P$45:$U$45</c15:sqref>
                        </c15:fullRef>
                        <c15:formulaRef>
                          <c15:sqref>'GP Summary'!$P$45:$T$45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120445.7818181818</c:v>
                      </c:pt>
                      <c:pt idx="2">
                        <c:v>1255856.5909090906</c:v>
                      </c:pt>
                      <c:pt idx="3">
                        <c:v>635573.96363636374</c:v>
                      </c:pt>
                      <c:pt idx="4">
                        <c:v>101439.11818181814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82-D714-41D1-BAFB-58BBD9013796}"/>
                  </c:ext>
                </c:extLst>
              </c15:ser>
            </c15:filteredPieSeries>
            <c15:filteredPi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Summary'!$O$46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4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6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8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A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7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Summary'!$P$46:$U$46</c15:sqref>
                        </c15:fullRef>
                        <c15:formulaRef>
                          <c15:sqref>'GP Summary'!$P$46:$T$46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131934.40999999997</c:v>
                      </c:pt>
                      <c:pt idx="2">
                        <c:v>396136.27636363637</c:v>
                      </c:pt>
                      <c:pt idx="3">
                        <c:v>409479.49272727274</c:v>
                      </c:pt>
                      <c:pt idx="4">
                        <c:v>205645.24090909091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8B-D714-41D1-BAFB-58BBD9013796}"/>
                  </c:ext>
                </c:extLst>
              </c15:ser>
            </c15:filteredPieSeries>
            <c15:filteredPi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Summary'!$O$47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D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F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1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3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1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Summary'!$P$47:$U$47</c15:sqref>
                        </c15:fullRef>
                        <c15:formulaRef>
                          <c15:sqref>'GP Summary'!$P$47:$T$47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-11488.628181818189</c:v>
                      </c:pt>
                      <c:pt idx="2">
                        <c:v>859720.31454545446</c:v>
                      </c:pt>
                      <c:pt idx="3">
                        <c:v>226094.47090909106</c:v>
                      </c:pt>
                      <c:pt idx="4">
                        <c:v>-104206.12272727277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94-D714-41D1-BAFB-58BBD9013796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9" fmlaLink="$E$16" max="30000" page="10" val="538"/>
</file>

<file path=xl/ctrlProps/ctrlProp10.xml><?xml version="1.0" encoding="utf-8"?>
<formControlPr xmlns="http://schemas.microsoft.com/office/spreadsheetml/2009/9/main" objectType="Spin" dx="39" fmlaLink="$I$17" max="30000" page="10" val="145"/>
</file>

<file path=xl/ctrlProps/ctrlProp100.xml><?xml version="1.0" encoding="utf-8"?>
<formControlPr xmlns="http://schemas.microsoft.com/office/spreadsheetml/2009/9/main" objectType="Spin" dx="39" fmlaLink="$R$43" max="30000" page="10" val="1000"/>
</file>

<file path=xl/ctrlProps/ctrlProp101.xml><?xml version="1.0" encoding="utf-8"?>
<formControlPr xmlns="http://schemas.microsoft.com/office/spreadsheetml/2009/9/main" objectType="Spin" dx="39" fmlaLink="$R$44" max="30000" page="10" val="289"/>
</file>

<file path=xl/ctrlProps/ctrlProp102.xml><?xml version="1.0" encoding="utf-8"?>
<formControlPr xmlns="http://schemas.microsoft.com/office/spreadsheetml/2009/9/main" objectType="Spin" dx="39" fmlaLink="$R$45" max="30000" page="10" val="469"/>
</file>

<file path=xl/ctrlProps/ctrlProp103.xml><?xml version="1.0" encoding="utf-8"?>
<formControlPr xmlns="http://schemas.microsoft.com/office/spreadsheetml/2009/9/main" objectType="Spin" dx="39" fmlaLink="$R$22" max="30000" page="10" val="100"/>
</file>

<file path=xl/ctrlProps/ctrlProp104.xml><?xml version="1.0" encoding="utf-8"?>
<formControlPr xmlns="http://schemas.microsoft.com/office/spreadsheetml/2009/9/main" objectType="Spin" dx="39" fmlaLink="$R$41" max="30000" page="10" val="100"/>
</file>

<file path=xl/ctrlProps/ctrlProp105.xml><?xml version="1.0" encoding="utf-8"?>
<formControlPr xmlns="http://schemas.microsoft.com/office/spreadsheetml/2009/9/main" objectType="Spin" dx="39" fmlaLink="$R$73" max="30000" page="10" val="999"/>
</file>

<file path=xl/ctrlProps/ctrlProp106.xml><?xml version="1.0" encoding="utf-8"?>
<formControlPr xmlns="http://schemas.microsoft.com/office/spreadsheetml/2009/9/main" objectType="Spin" dx="39" fmlaLink="$R$74" max="30000" page="10" val="289"/>
</file>

<file path=xl/ctrlProps/ctrlProp107.xml><?xml version="1.0" encoding="utf-8"?>
<formControlPr xmlns="http://schemas.microsoft.com/office/spreadsheetml/2009/9/main" objectType="Spin" dx="39" fmlaLink="$R$75" max="30000" page="10" val="469"/>
</file>

<file path=xl/ctrlProps/ctrlProp108.xml><?xml version="1.0" encoding="utf-8"?>
<formControlPr xmlns="http://schemas.microsoft.com/office/spreadsheetml/2009/9/main" objectType="Spin" dx="39" fmlaLink="$R$71" max="30000" page="10" val="100"/>
</file>

<file path=xl/ctrlProps/ctrlProp109.xml><?xml version="1.0" encoding="utf-8"?>
<formControlPr xmlns="http://schemas.microsoft.com/office/spreadsheetml/2009/9/main" objectType="Spin" dx="39" fmlaLink="$R$103" max="30000" page="10" val="999"/>
</file>

<file path=xl/ctrlProps/ctrlProp11.xml><?xml version="1.0" encoding="utf-8"?>
<formControlPr xmlns="http://schemas.microsoft.com/office/spreadsheetml/2009/9/main" objectType="Spin" dx="39" fmlaLink="$I$18" max="30000" page="10" val="146"/>
</file>

<file path=xl/ctrlProps/ctrlProp110.xml><?xml version="1.0" encoding="utf-8"?>
<formControlPr xmlns="http://schemas.microsoft.com/office/spreadsheetml/2009/9/main" objectType="Spin" dx="39" fmlaLink="$R$104" max="30000" page="10" val="289"/>
</file>

<file path=xl/ctrlProps/ctrlProp111.xml><?xml version="1.0" encoding="utf-8"?>
<formControlPr xmlns="http://schemas.microsoft.com/office/spreadsheetml/2009/9/main" objectType="Spin" dx="39" fmlaLink="$R$105" max="30000" page="10" val="469"/>
</file>

<file path=xl/ctrlProps/ctrlProp112.xml><?xml version="1.0" encoding="utf-8"?>
<formControlPr xmlns="http://schemas.microsoft.com/office/spreadsheetml/2009/9/main" objectType="Spin" dx="39" fmlaLink="$R$101" max="30000" page="10" val="100"/>
</file>

<file path=xl/ctrlProps/ctrlProp113.xml><?xml version="1.0" encoding="utf-8"?>
<formControlPr xmlns="http://schemas.microsoft.com/office/spreadsheetml/2009/9/main" objectType="Spin" dx="39" fmlaLink="$E$133" max="30000" page="10" val="534"/>
</file>

<file path=xl/ctrlProps/ctrlProp114.xml><?xml version="1.0" encoding="utf-8"?>
<formControlPr xmlns="http://schemas.microsoft.com/office/spreadsheetml/2009/9/main" objectType="Spin" dx="39" fmlaLink="$E$134" max="30000" page="10" val="3189"/>
</file>

<file path=xl/ctrlProps/ctrlProp115.xml><?xml version="1.0" encoding="utf-8"?>
<formControlPr xmlns="http://schemas.microsoft.com/office/spreadsheetml/2009/9/main" objectType="Spin" dx="39" fmlaLink="$E$135" max="30000" page="10" val="401"/>
</file>

<file path=xl/ctrlProps/ctrlProp116.xml><?xml version="1.0" encoding="utf-8"?>
<formControlPr xmlns="http://schemas.microsoft.com/office/spreadsheetml/2009/9/main" objectType="Spin" dx="39" fmlaLink="$E$136" max="30000" page="10" val="2247"/>
</file>

<file path=xl/ctrlProps/ctrlProp117.xml><?xml version="1.0" encoding="utf-8"?>
<formControlPr xmlns="http://schemas.microsoft.com/office/spreadsheetml/2009/9/main" objectType="Spin" dx="39" fmlaLink="$E$137" max="30000" page="10" val="2548"/>
</file>

<file path=xl/ctrlProps/ctrlProp118.xml><?xml version="1.0" encoding="utf-8"?>
<formControlPr xmlns="http://schemas.microsoft.com/office/spreadsheetml/2009/9/main" objectType="Spin" dx="39" fmlaLink="$E$138" max="30000" page="10" val="592"/>
</file>

<file path=xl/ctrlProps/ctrlProp119.xml><?xml version="1.0" encoding="utf-8"?>
<formControlPr xmlns="http://schemas.microsoft.com/office/spreadsheetml/2009/9/main" objectType="Spin" dx="39" fmlaLink="$E$139" max="30000" page="10" val="249"/>
</file>

<file path=xl/ctrlProps/ctrlProp12.xml><?xml version="1.0" encoding="utf-8"?>
<formControlPr xmlns="http://schemas.microsoft.com/office/spreadsheetml/2009/9/main" objectType="Spin" dx="39" fmlaLink="$I$19" max="30000" page="10" val="143"/>
</file>

<file path=xl/ctrlProps/ctrlProp120.xml><?xml version="1.0" encoding="utf-8"?>
<formControlPr xmlns="http://schemas.microsoft.com/office/spreadsheetml/2009/9/main" objectType="Spin" dx="39" fmlaLink="$E$140" max="30000" page="10" val="240"/>
</file>

<file path=xl/ctrlProps/ctrlProp121.xml><?xml version="1.0" encoding="utf-8"?>
<formControlPr xmlns="http://schemas.microsoft.com/office/spreadsheetml/2009/9/main" objectType="Spin" dx="39" fmlaLink="$I$133" max="30000" page="10" val="178"/>
</file>

<file path=xl/ctrlProps/ctrlProp122.xml><?xml version="1.0" encoding="utf-8"?>
<formControlPr xmlns="http://schemas.microsoft.com/office/spreadsheetml/2009/9/main" objectType="Spin" dx="39" fmlaLink="$I$134" max="30000" page="10" val="65"/>
</file>

<file path=xl/ctrlProps/ctrlProp123.xml><?xml version="1.0" encoding="utf-8"?>
<formControlPr xmlns="http://schemas.microsoft.com/office/spreadsheetml/2009/9/main" objectType="Spin" dx="39" fmlaLink="$I$135" max="30000" page="10" val="159"/>
</file>

<file path=xl/ctrlProps/ctrlProp124.xml><?xml version="1.0" encoding="utf-8"?>
<formControlPr xmlns="http://schemas.microsoft.com/office/spreadsheetml/2009/9/main" objectType="Spin" dx="39" fmlaLink="$I$136" max="30000" page="10" val="65"/>
</file>

<file path=xl/ctrlProps/ctrlProp125.xml><?xml version="1.0" encoding="utf-8"?>
<formControlPr xmlns="http://schemas.microsoft.com/office/spreadsheetml/2009/9/main" objectType="Spin" dx="39" fmlaLink="$I$137" max="30000" page="10" val="159"/>
</file>

<file path=xl/ctrlProps/ctrlProp126.xml><?xml version="1.0" encoding="utf-8"?>
<formControlPr xmlns="http://schemas.microsoft.com/office/spreadsheetml/2009/9/main" objectType="Spin" dx="39" fmlaLink="$I$138" max="30000" page="10" val="65"/>
</file>

<file path=xl/ctrlProps/ctrlProp127.xml><?xml version="1.0" encoding="utf-8"?>
<formControlPr xmlns="http://schemas.microsoft.com/office/spreadsheetml/2009/9/main" objectType="Spin" dx="39" fmlaLink="$I$139" max="30000" page="10" val="272"/>
</file>

<file path=xl/ctrlProps/ctrlProp128.xml><?xml version="1.0" encoding="utf-8"?>
<formControlPr xmlns="http://schemas.microsoft.com/office/spreadsheetml/2009/9/main" objectType="Spin" dx="39" fmlaLink="$I$140" max="30000" page="10" val="272"/>
</file>

<file path=xl/ctrlProps/ctrlProp129.xml><?xml version="1.0" encoding="utf-8"?>
<formControlPr xmlns="http://schemas.microsoft.com/office/spreadsheetml/2009/9/main" objectType="Spin" dx="39" fmlaLink="$M$133" max="30000" page="10" val="169"/>
</file>

<file path=xl/ctrlProps/ctrlProp13.xml><?xml version="1.0" encoding="utf-8"?>
<formControlPr xmlns="http://schemas.microsoft.com/office/spreadsheetml/2009/9/main" objectType="Spin" dx="39" fmlaLink="$I$20" max="30000" page="10" val="149"/>
</file>

<file path=xl/ctrlProps/ctrlProp130.xml><?xml version="1.0" encoding="utf-8"?>
<formControlPr xmlns="http://schemas.microsoft.com/office/spreadsheetml/2009/9/main" objectType="Spin" dx="39" fmlaLink="$M$134" max="30000" page="10" val="28"/>
</file>

<file path=xl/ctrlProps/ctrlProp131.xml><?xml version="1.0" encoding="utf-8"?>
<formControlPr xmlns="http://schemas.microsoft.com/office/spreadsheetml/2009/9/main" objectType="Spin" dx="39" fmlaLink="$M$135" max="30000" page="10" val="60"/>
</file>

<file path=xl/ctrlProps/ctrlProp132.xml><?xml version="1.0" encoding="utf-8"?>
<formControlPr xmlns="http://schemas.microsoft.com/office/spreadsheetml/2009/9/main" objectType="Spin" dx="39" fmlaLink="$M$136" max="30000" page="10" val="66"/>
</file>

<file path=xl/ctrlProps/ctrlProp133.xml><?xml version="1.0" encoding="utf-8"?>
<formControlPr xmlns="http://schemas.microsoft.com/office/spreadsheetml/2009/9/main" objectType="Spin" dx="39" fmlaLink="$M$137" max="30000" page="10" val="70"/>
</file>

<file path=xl/ctrlProps/ctrlProp134.xml><?xml version="1.0" encoding="utf-8"?>
<formControlPr xmlns="http://schemas.microsoft.com/office/spreadsheetml/2009/9/main" objectType="Spin" dx="39" fmlaLink="$M$138" max="30000" page="10" val="55"/>
</file>

<file path=xl/ctrlProps/ctrlProp135.xml><?xml version="1.0" encoding="utf-8"?>
<formControlPr xmlns="http://schemas.microsoft.com/office/spreadsheetml/2009/9/main" objectType="Spin" dx="39" fmlaLink="$M$139" max="30000" page="10" val="260"/>
</file>

<file path=xl/ctrlProps/ctrlProp136.xml><?xml version="1.0" encoding="utf-8"?>
<formControlPr xmlns="http://schemas.microsoft.com/office/spreadsheetml/2009/9/main" objectType="Spin" dx="39" fmlaLink="$M$140" max="30000" page="10" val="260"/>
</file>

<file path=xl/ctrlProps/ctrlProp137.xml><?xml version="1.0" encoding="utf-8"?>
<formControlPr xmlns="http://schemas.microsoft.com/office/spreadsheetml/2009/9/main" objectType="Spin" dx="39" fmlaLink="$R$133" max="30000" page="10" val="999"/>
</file>

<file path=xl/ctrlProps/ctrlProp138.xml><?xml version="1.0" encoding="utf-8"?>
<formControlPr xmlns="http://schemas.microsoft.com/office/spreadsheetml/2009/9/main" objectType="Spin" dx="39" fmlaLink="$R$134" max="30000" page="10" val="289"/>
</file>

<file path=xl/ctrlProps/ctrlProp139.xml><?xml version="1.0" encoding="utf-8"?>
<formControlPr xmlns="http://schemas.microsoft.com/office/spreadsheetml/2009/9/main" objectType="Spin" dx="39" fmlaLink="$R$135" max="30000" page="10" val="469"/>
</file>

<file path=xl/ctrlProps/ctrlProp14.xml><?xml version="1.0" encoding="utf-8"?>
<formControlPr xmlns="http://schemas.microsoft.com/office/spreadsheetml/2009/9/main" objectType="Spin" dx="39" fmlaLink="$I$21" max="30000" page="10" val="143"/>
</file>

<file path=xl/ctrlProps/ctrlProp140.xml><?xml version="1.0" encoding="utf-8"?>
<formControlPr xmlns="http://schemas.microsoft.com/office/spreadsheetml/2009/9/main" objectType="Spin" dx="39" fmlaLink="$R$131" max="30000" page="10" val="100"/>
</file>

<file path=xl/ctrlProps/ctrlProp141.xml><?xml version="1.0" encoding="utf-8"?>
<formControlPr xmlns="http://schemas.microsoft.com/office/spreadsheetml/2009/9/main" objectType="Spin" dx="39" fmlaLink="$R$162" max="30000" page="10" val="80"/>
</file>

<file path=xl/ctrlProps/ctrlProp142.xml><?xml version="1.0" encoding="utf-8"?>
<formControlPr xmlns="http://schemas.microsoft.com/office/spreadsheetml/2009/9/main" objectType="Spin" dx="39" fmlaLink="$E$200" max="30000" page="10" val="240"/>
</file>

<file path=xl/ctrlProps/ctrlProp143.xml><?xml version="1.0" encoding="utf-8"?>
<formControlPr xmlns="http://schemas.microsoft.com/office/spreadsheetml/2009/9/main" objectType="Spin" dx="39" fmlaLink="$E$79" max="30000" page="10" val="249"/>
</file>

<file path=xl/ctrlProps/ctrlProp144.xml><?xml version="1.0" encoding="utf-8"?>
<formControlPr xmlns="http://schemas.microsoft.com/office/spreadsheetml/2009/9/main" objectType="Spin" dx="39" fmlaLink="$E$198" max="30000" page="10" val="592"/>
</file>

<file path=xl/ctrlProps/ctrlProp145.xml><?xml version="1.0" encoding="utf-8"?>
<formControlPr xmlns="http://schemas.microsoft.com/office/spreadsheetml/2009/9/main" objectType="Spin" dx="39" fmlaLink="$E$197" max="30000" page="10" val="2548"/>
</file>

<file path=xl/ctrlProps/ctrlProp146.xml><?xml version="1.0" encoding="utf-8"?>
<formControlPr xmlns="http://schemas.microsoft.com/office/spreadsheetml/2009/9/main" objectType="Spin" dx="39" fmlaLink="$E$196" max="30000" page="10" val="2247"/>
</file>

<file path=xl/ctrlProps/ctrlProp147.xml><?xml version="1.0" encoding="utf-8"?>
<formControlPr xmlns="http://schemas.microsoft.com/office/spreadsheetml/2009/9/main" objectType="Spin" dx="39" fmlaLink="$E$195" max="30000" page="10" val="401"/>
</file>

<file path=xl/ctrlProps/ctrlProp148.xml><?xml version="1.0" encoding="utf-8"?>
<formControlPr xmlns="http://schemas.microsoft.com/office/spreadsheetml/2009/9/main" objectType="Spin" dx="39" fmlaLink="$E$194" max="30000" page="10" val="3189"/>
</file>

<file path=xl/ctrlProps/ctrlProp149.xml><?xml version="1.0" encoding="utf-8"?>
<formControlPr xmlns="http://schemas.microsoft.com/office/spreadsheetml/2009/9/main" objectType="Spin" dx="39" fmlaLink="$E$193" max="30000" page="10" val="534"/>
</file>

<file path=xl/ctrlProps/ctrlProp15.xml><?xml version="1.0" encoding="utf-8"?>
<formControlPr xmlns="http://schemas.microsoft.com/office/spreadsheetml/2009/9/main" objectType="Spin" dx="39" fmlaLink="$I$22" max="30000" page="10" val="145"/>
</file>

<file path=xl/ctrlProps/ctrlProp150.xml><?xml version="1.0" encoding="utf-8"?>
<formControlPr xmlns="http://schemas.microsoft.com/office/spreadsheetml/2009/9/main" objectType="Spin" dx="39" fmlaLink="$I$193" max="30000" page="10" val="178"/>
</file>

<file path=xl/ctrlProps/ctrlProp151.xml><?xml version="1.0" encoding="utf-8"?>
<formControlPr xmlns="http://schemas.microsoft.com/office/spreadsheetml/2009/9/main" objectType="Spin" dx="39" fmlaLink="$I$194" max="30000" page="10" val="65"/>
</file>

<file path=xl/ctrlProps/ctrlProp152.xml><?xml version="1.0" encoding="utf-8"?>
<formControlPr xmlns="http://schemas.microsoft.com/office/spreadsheetml/2009/9/main" objectType="Spin" dx="39" fmlaLink="$I$195" max="30000" page="10" val="159"/>
</file>

<file path=xl/ctrlProps/ctrlProp153.xml><?xml version="1.0" encoding="utf-8"?>
<formControlPr xmlns="http://schemas.microsoft.com/office/spreadsheetml/2009/9/main" objectType="Spin" dx="39" fmlaLink="$I$196" max="30000" page="10" val="65"/>
</file>

<file path=xl/ctrlProps/ctrlProp154.xml><?xml version="1.0" encoding="utf-8"?>
<formControlPr xmlns="http://schemas.microsoft.com/office/spreadsheetml/2009/9/main" objectType="Spin" dx="39" fmlaLink="$I$197" max="30000" page="10" val="159"/>
</file>

<file path=xl/ctrlProps/ctrlProp155.xml><?xml version="1.0" encoding="utf-8"?>
<formControlPr xmlns="http://schemas.microsoft.com/office/spreadsheetml/2009/9/main" objectType="Spin" dx="39" fmlaLink="$I$198" max="30000" page="10" val="65"/>
</file>

<file path=xl/ctrlProps/ctrlProp156.xml><?xml version="1.0" encoding="utf-8"?>
<formControlPr xmlns="http://schemas.microsoft.com/office/spreadsheetml/2009/9/main" objectType="Spin" dx="39" fmlaLink="$I$199" max="30000" page="10" val="272"/>
</file>

<file path=xl/ctrlProps/ctrlProp157.xml><?xml version="1.0" encoding="utf-8"?>
<formControlPr xmlns="http://schemas.microsoft.com/office/spreadsheetml/2009/9/main" objectType="Spin" dx="39" fmlaLink="$I$200" max="30000" page="10" val="272"/>
</file>

<file path=xl/ctrlProps/ctrlProp158.xml><?xml version="1.0" encoding="utf-8"?>
<formControlPr xmlns="http://schemas.microsoft.com/office/spreadsheetml/2009/9/main" objectType="Spin" dx="39" fmlaLink="$M$193" max="30000" page="10" val="170"/>
</file>

<file path=xl/ctrlProps/ctrlProp159.xml><?xml version="1.0" encoding="utf-8"?>
<formControlPr xmlns="http://schemas.microsoft.com/office/spreadsheetml/2009/9/main" objectType="Spin" dx="39" fmlaLink="$M$194" max="30000" page="10" val="28"/>
</file>

<file path=xl/ctrlProps/ctrlProp16.xml><?xml version="1.0" encoding="utf-8"?>
<formControlPr xmlns="http://schemas.microsoft.com/office/spreadsheetml/2009/9/main" objectType="Spin" dx="39" fmlaLink="$I$23" max="30000" page="10" val="139"/>
</file>

<file path=xl/ctrlProps/ctrlProp160.xml><?xml version="1.0" encoding="utf-8"?>
<formControlPr xmlns="http://schemas.microsoft.com/office/spreadsheetml/2009/9/main" objectType="Spin" dx="39" fmlaLink="$M$195" max="30000" page="10" val="60"/>
</file>

<file path=xl/ctrlProps/ctrlProp161.xml><?xml version="1.0" encoding="utf-8"?>
<formControlPr xmlns="http://schemas.microsoft.com/office/spreadsheetml/2009/9/main" objectType="Spin" dx="39" fmlaLink="$M$196" max="30000" page="10" val="66"/>
</file>

<file path=xl/ctrlProps/ctrlProp162.xml><?xml version="1.0" encoding="utf-8"?>
<formControlPr xmlns="http://schemas.microsoft.com/office/spreadsheetml/2009/9/main" objectType="Spin" dx="39" fmlaLink="$M$197" max="30000" page="10" val="70"/>
</file>

<file path=xl/ctrlProps/ctrlProp163.xml><?xml version="1.0" encoding="utf-8"?>
<formControlPr xmlns="http://schemas.microsoft.com/office/spreadsheetml/2009/9/main" objectType="Spin" dx="39" fmlaLink="$M$198" max="30000" page="10" val="55"/>
</file>

<file path=xl/ctrlProps/ctrlProp164.xml><?xml version="1.0" encoding="utf-8"?>
<formControlPr xmlns="http://schemas.microsoft.com/office/spreadsheetml/2009/9/main" objectType="Spin" dx="39" fmlaLink="$M$199" max="30000" page="10" val="260"/>
</file>

<file path=xl/ctrlProps/ctrlProp165.xml><?xml version="1.0" encoding="utf-8"?>
<formControlPr xmlns="http://schemas.microsoft.com/office/spreadsheetml/2009/9/main" objectType="Spin" dx="39" fmlaLink="$M$200" max="30000" page="10" val="260"/>
</file>

<file path=xl/ctrlProps/ctrlProp166.xml><?xml version="1.0" encoding="utf-8"?>
<formControlPr xmlns="http://schemas.microsoft.com/office/spreadsheetml/2009/9/main" objectType="Spin" dx="39" fmlaLink="$R$193" max="30000" page="10" val="500"/>
</file>

<file path=xl/ctrlProps/ctrlProp167.xml><?xml version="1.0" encoding="utf-8"?>
<formControlPr xmlns="http://schemas.microsoft.com/office/spreadsheetml/2009/9/main" objectType="Spin" dx="39" fmlaLink="$R$194" max="30000" page="10" val="100"/>
</file>

<file path=xl/ctrlProps/ctrlProp168.xml><?xml version="1.0" encoding="utf-8"?>
<formControlPr xmlns="http://schemas.microsoft.com/office/spreadsheetml/2009/9/main" objectType="Spin" dx="39" fmlaLink="$R$195" max="30000" page="10" val="200"/>
</file>

<file path=xl/ctrlProps/ctrlProp169.xml><?xml version="1.0" encoding="utf-8"?>
<formControlPr xmlns="http://schemas.microsoft.com/office/spreadsheetml/2009/9/main" objectType="Spin" dx="39" fmlaLink="$R$191" max="30000" page="10" val="100"/>
</file>

<file path=xl/ctrlProps/ctrlProp17.xml><?xml version="1.0" encoding="utf-8"?>
<formControlPr xmlns="http://schemas.microsoft.com/office/spreadsheetml/2009/9/main" objectType="Spin" dx="39" fmlaLink="$M$16" max="30000" page="10" val="170"/>
</file>

<file path=xl/ctrlProps/ctrlProp18.xml><?xml version="1.0" encoding="utf-8"?>
<formControlPr xmlns="http://schemas.microsoft.com/office/spreadsheetml/2009/9/main" objectType="Spin" dx="39" fmlaLink="$M$17" max="30000" page="10" val="28"/>
</file>

<file path=xl/ctrlProps/ctrlProp19.xml><?xml version="1.0" encoding="utf-8"?>
<formControlPr xmlns="http://schemas.microsoft.com/office/spreadsheetml/2009/9/main" objectType="Spin" dx="39" fmlaLink="$M$18" max="30000" page="10" val="61"/>
</file>

<file path=xl/ctrlProps/ctrlProp2.xml><?xml version="1.0" encoding="utf-8"?>
<formControlPr xmlns="http://schemas.microsoft.com/office/spreadsheetml/2009/9/main" objectType="Spin" dx="39" fmlaLink="$E$17" max="30000" page="10" val="3184"/>
</file>

<file path=xl/ctrlProps/ctrlProp20.xml><?xml version="1.0" encoding="utf-8"?>
<formControlPr xmlns="http://schemas.microsoft.com/office/spreadsheetml/2009/9/main" objectType="Spin" dx="39" fmlaLink="$M$19" max="30000" page="10" val="66"/>
</file>

<file path=xl/ctrlProps/ctrlProp21.xml><?xml version="1.0" encoding="utf-8"?>
<formControlPr xmlns="http://schemas.microsoft.com/office/spreadsheetml/2009/9/main" objectType="Spin" dx="39" fmlaLink="$M$20" max="30000" page="10" val="101"/>
</file>

<file path=xl/ctrlProps/ctrlProp22.xml><?xml version="1.0" encoding="utf-8"?>
<formControlPr xmlns="http://schemas.microsoft.com/office/spreadsheetml/2009/9/main" objectType="Spin" dx="39" fmlaLink="$M$21" max="30000" page="10" val="55"/>
</file>

<file path=xl/ctrlProps/ctrlProp23.xml><?xml version="1.0" encoding="utf-8"?>
<formControlPr xmlns="http://schemas.microsoft.com/office/spreadsheetml/2009/9/main" objectType="Spin" dx="39" fmlaLink="$M$22" max="30000" page="10" val="292"/>
</file>

<file path=xl/ctrlProps/ctrlProp24.xml><?xml version="1.0" encoding="utf-8"?>
<formControlPr xmlns="http://schemas.microsoft.com/office/spreadsheetml/2009/9/main" objectType="Spin" dx="39" fmlaLink="$M$23" max="30000" page="10" val="285"/>
</file>

<file path=xl/ctrlProps/ctrlProp25.xml><?xml version="1.0" encoding="utf-8"?>
<formControlPr xmlns="http://schemas.microsoft.com/office/spreadsheetml/2009/9/main" objectType="Spin" dx="39" fmlaLink="$E$43" max="30000" page="10" val="534"/>
</file>

<file path=xl/ctrlProps/ctrlProp26.xml><?xml version="1.0" encoding="utf-8"?>
<formControlPr xmlns="http://schemas.microsoft.com/office/spreadsheetml/2009/9/main" objectType="Spin" dx="39" fmlaLink="$E$44" max="30000" page="10" val="3189"/>
</file>

<file path=xl/ctrlProps/ctrlProp27.xml><?xml version="1.0" encoding="utf-8"?>
<formControlPr xmlns="http://schemas.microsoft.com/office/spreadsheetml/2009/9/main" objectType="Spin" dx="39" fmlaLink="$E$45" max="30000" page="10" val="401"/>
</file>

<file path=xl/ctrlProps/ctrlProp28.xml><?xml version="1.0" encoding="utf-8"?>
<formControlPr xmlns="http://schemas.microsoft.com/office/spreadsheetml/2009/9/main" objectType="Spin" dx="39" fmlaLink="$E$46" max="30000" page="10" val="2247"/>
</file>

<file path=xl/ctrlProps/ctrlProp29.xml><?xml version="1.0" encoding="utf-8"?>
<formControlPr xmlns="http://schemas.microsoft.com/office/spreadsheetml/2009/9/main" objectType="Spin" dx="39" fmlaLink="$E$47" max="30000" page="10" val="2548"/>
</file>

<file path=xl/ctrlProps/ctrlProp3.xml><?xml version="1.0" encoding="utf-8"?>
<formControlPr xmlns="http://schemas.microsoft.com/office/spreadsheetml/2009/9/main" objectType="Spin" dx="39" fmlaLink="$E$18" max="30000" page="10" val="401"/>
</file>

<file path=xl/ctrlProps/ctrlProp30.xml><?xml version="1.0" encoding="utf-8"?>
<formControlPr xmlns="http://schemas.microsoft.com/office/spreadsheetml/2009/9/main" objectType="Spin" dx="39" fmlaLink="$E$48" max="30000" page="10" val="592"/>
</file>

<file path=xl/ctrlProps/ctrlProp31.xml><?xml version="1.0" encoding="utf-8"?>
<formControlPr xmlns="http://schemas.microsoft.com/office/spreadsheetml/2009/9/main" objectType="Spin" dx="39" fmlaLink="$E$49" max="30000" page="10" val="249"/>
</file>

<file path=xl/ctrlProps/ctrlProp32.xml><?xml version="1.0" encoding="utf-8"?>
<formControlPr xmlns="http://schemas.microsoft.com/office/spreadsheetml/2009/9/main" objectType="Spin" dx="39" fmlaLink="$E$50" max="30000" page="10" val="240"/>
</file>

<file path=xl/ctrlProps/ctrlProp33.xml><?xml version="1.0" encoding="utf-8"?>
<formControlPr xmlns="http://schemas.microsoft.com/office/spreadsheetml/2009/9/main" objectType="Spin" dx="39" fmlaLink="$I$43" max="30000" page="10" val="178"/>
</file>

<file path=xl/ctrlProps/ctrlProp34.xml><?xml version="1.0" encoding="utf-8"?>
<formControlPr xmlns="http://schemas.microsoft.com/office/spreadsheetml/2009/9/main" objectType="Spin" dx="39" fmlaLink="$M$43" max="30000" page="10" val="170"/>
</file>

<file path=xl/ctrlProps/ctrlProp35.xml><?xml version="1.0" encoding="utf-8"?>
<formControlPr xmlns="http://schemas.microsoft.com/office/spreadsheetml/2009/9/main" objectType="Spin" dx="39" fmlaLink="$I$44" max="30000" page="10" val="65"/>
</file>

<file path=xl/ctrlProps/ctrlProp36.xml><?xml version="1.0" encoding="utf-8"?>
<formControlPr xmlns="http://schemas.microsoft.com/office/spreadsheetml/2009/9/main" objectType="Spin" dx="39" fmlaLink="$M$44" max="30000" page="10" val="28"/>
</file>

<file path=xl/ctrlProps/ctrlProp37.xml><?xml version="1.0" encoding="utf-8"?>
<formControlPr xmlns="http://schemas.microsoft.com/office/spreadsheetml/2009/9/main" objectType="Spin" dx="39" fmlaLink="$I$45" max="30000" page="10" val="159"/>
</file>

<file path=xl/ctrlProps/ctrlProp38.xml><?xml version="1.0" encoding="utf-8"?>
<formControlPr xmlns="http://schemas.microsoft.com/office/spreadsheetml/2009/9/main" objectType="Spin" dx="39" fmlaLink="$I$46" max="30000" page="10" val="65"/>
</file>

<file path=xl/ctrlProps/ctrlProp39.xml><?xml version="1.0" encoding="utf-8"?>
<formControlPr xmlns="http://schemas.microsoft.com/office/spreadsheetml/2009/9/main" objectType="Spin" dx="39" fmlaLink="$I$47" max="30000" page="10" val="159"/>
</file>

<file path=xl/ctrlProps/ctrlProp4.xml><?xml version="1.0" encoding="utf-8"?>
<formControlPr xmlns="http://schemas.microsoft.com/office/spreadsheetml/2009/9/main" objectType="Spin" dx="39" fmlaLink="$E$19" max="30000" page="10" val="2247"/>
</file>

<file path=xl/ctrlProps/ctrlProp40.xml><?xml version="1.0" encoding="utf-8"?>
<formControlPr xmlns="http://schemas.microsoft.com/office/spreadsheetml/2009/9/main" objectType="Spin" dx="39" fmlaLink="$M$45" max="30000" page="10" val="61"/>
</file>

<file path=xl/ctrlProps/ctrlProp41.xml><?xml version="1.0" encoding="utf-8"?>
<formControlPr xmlns="http://schemas.microsoft.com/office/spreadsheetml/2009/9/main" objectType="Spin" dx="39" fmlaLink="$M$46" max="30000" page="10" val="66"/>
</file>

<file path=xl/ctrlProps/ctrlProp42.xml><?xml version="1.0" encoding="utf-8"?>
<formControlPr xmlns="http://schemas.microsoft.com/office/spreadsheetml/2009/9/main" objectType="Spin" dx="39" fmlaLink="$M$47" max="30000" page="10" val="101"/>
</file>

<file path=xl/ctrlProps/ctrlProp43.xml><?xml version="1.0" encoding="utf-8"?>
<formControlPr xmlns="http://schemas.microsoft.com/office/spreadsheetml/2009/9/main" objectType="Spin" dx="39" fmlaLink="$I$48" max="30000" page="10" val="65"/>
</file>

<file path=xl/ctrlProps/ctrlProp44.xml><?xml version="1.0" encoding="utf-8"?>
<formControlPr xmlns="http://schemas.microsoft.com/office/spreadsheetml/2009/9/main" objectType="Spin" dx="39" fmlaLink="$I$49" max="30000" page="10" val="272"/>
</file>

<file path=xl/ctrlProps/ctrlProp45.xml><?xml version="1.0" encoding="utf-8"?>
<formControlPr xmlns="http://schemas.microsoft.com/office/spreadsheetml/2009/9/main" objectType="Spin" dx="39" fmlaLink="$I$50" max="30000" page="10" val="272"/>
</file>

<file path=xl/ctrlProps/ctrlProp46.xml><?xml version="1.0" encoding="utf-8"?>
<formControlPr xmlns="http://schemas.microsoft.com/office/spreadsheetml/2009/9/main" objectType="Spin" dx="39" fmlaLink="$M$48" max="30000" page="10" val="55"/>
</file>

<file path=xl/ctrlProps/ctrlProp47.xml><?xml version="1.0" encoding="utf-8"?>
<formControlPr xmlns="http://schemas.microsoft.com/office/spreadsheetml/2009/9/main" objectType="Spin" dx="39" fmlaLink="$M$49" max="30000" page="10" val="292"/>
</file>

<file path=xl/ctrlProps/ctrlProp48.xml><?xml version="1.0" encoding="utf-8"?>
<formControlPr xmlns="http://schemas.microsoft.com/office/spreadsheetml/2009/9/main" objectType="Spin" dx="39" fmlaLink="$M$50" max="30000" page="10" val="285"/>
</file>

<file path=xl/ctrlProps/ctrlProp49.xml><?xml version="1.0" encoding="utf-8"?>
<formControlPr xmlns="http://schemas.microsoft.com/office/spreadsheetml/2009/9/main" objectType="Spin" dx="39" fmlaLink="$E$80" max="30000" page="10" val="239"/>
</file>

<file path=xl/ctrlProps/ctrlProp5.xml><?xml version="1.0" encoding="utf-8"?>
<formControlPr xmlns="http://schemas.microsoft.com/office/spreadsheetml/2009/9/main" objectType="Spin" dx="39" fmlaLink="$E$20" max="30000" page="10" val="2550"/>
</file>

<file path=xl/ctrlProps/ctrlProp50.xml><?xml version="1.0" encoding="utf-8"?>
<formControlPr xmlns="http://schemas.microsoft.com/office/spreadsheetml/2009/9/main" objectType="Spin" dx="39" fmlaLink="$E$79" max="30000" page="10" val="249"/>
</file>

<file path=xl/ctrlProps/ctrlProp51.xml><?xml version="1.0" encoding="utf-8"?>
<formControlPr xmlns="http://schemas.microsoft.com/office/spreadsheetml/2009/9/main" objectType="Spin" dx="39" fmlaLink="$E$78" max="30000" page="10" val="592"/>
</file>

<file path=xl/ctrlProps/ctrlProp52.xml><?xml version="1.0" encoding="utf-8"?>
<formControlPr xmlns="http://schemas.microsoft.com/office/spreadsheetml/2009/9/main" objectType="Spin" dx="39" fmlaLink="$E$77" max="30000" page="10" val="2548"/>
</file>

<file path=xl/ctrlProps/ctrlProp53.xml><?xml version="1.0" encoding="utf-8"?>
<formControlPr xmlns="http://schemas.microsoft.com/office/spreadsheetml/2009/9/main" objectType="Spin" dx="39" fmlaLink="$E$76" max="30000" page="10" val="2247"/>
</file>

<file path=xl/ctrlProps/ctrlProp54.xml><?xml version="1.0" encoding="utf-8"?>
<formControlPr xmlns="http://schemas.microsoft.com/office/spreadsheetml/2009/9/main" objectType="Spin" dx="39" fmlaLink="$E$75" max="30000" page="10" val="401"/>
</file>

<file path=xl/ctrlProps/ctrlProp55.xml><?xml version="1.0" encoding="utf-8"?>
<formControlPr xmlns="http://schemas.microsoft.com/office/spreadsheetml/2009/9/main" objectType="Spin" dx="39" fmlaLink="$E$74" max="30000" page="10" val="3189"/>
</file>

<file path=xl/ctrlProps/ctrlProp56.xml><?xml version="1.0" encoding="utf-8"?>
<formControlPr xmlns="http://schemas.microsoft.com/office/spreadsheetml/2009/9/main" objectType="Spin" dx="39" fmlaLink="$E$73" max="30000" page="10" val="534"/>
</file>

<file path=xl/ctrlProps/ctrlProp57.xml><?xml version="1.0" encoding="utf-8"?>
<formControlPr xmlns="http://schemas.microsoft.com/office/spreadsheetml/2009/9/main" objectType="Spin" dx="39" fmlaLink="$I$80" max="30000" page="10" val="272"/>
</file>

<file path=xl/ctrlProps/ctrlProp58.xml><?xml version="1.0" encoding="utf-8"?>
<formControlPr xmlns="http://schemas.microsoft.com/office/spreadsheetml/2009/9/main" objectType="Spin" dx="39" fmlaLink="$I$79" max="30000" page="10" val="272"/>
</file>

<file path=xl/ctrlProps/ctrlProp59.xml><?xml version="1.0" encoding="utf-8"?>
<formControlPr xmlns="http://schemas.microsoft.com/office/spreadsheetml/2009/9/main" objectType="Spin" dx="39" fmlaLink="$I$78" max="30000" page="10" val="65"/>
</file>

<file path=xl/ctrlProps/ctrlProp6.xml><?xml version="1.0" encoding="utf-8"?>
<formControlPr xmlns="http://schemas.microsoft.com/office/spreadsheetml/2009/9/main" objectType="Spin" dx="39" fmlaLink="$E$21" max="30000" page="10" val="592"/>
</file>

<file path=xl/ctrlProps/ctrlProp60.xml><?xml version="1.0" encoding="utf-8"?>
<formControlPr xmlns="http://schemas.microsoft.com/office/spreadsheetml/2009/9/main" objectType="Spin" dx="39" fmlaLink="$I$77" max="30000" page="10" val="159"/>
</file>

<file path=xl/ctrlProps/ctrlProp61.xml><?xml version="1.0" encoding="utf-8"?>
<formControlPr xmlns="http://schemas.microsoft.com/office/spreadsheetml/2009/9/main" objectType="Spin" dx="39" fmlaLink="$I$76" max="30000" page="10" val="65"/>
</file>

<file path=xl/ctrlProps/ctrlProp62.xml><?xml version="1.0" encoding="utf-8"?>
<formControlPr xmlns="http://schemas.microsoft.com/office/spreadsheetml/2009/9/main" objectType="Spin" dx="39" fmlaLink="$I$75" max="30000" page="10" val="159"/>
</file>

<file path=xl/ctrlProps/ctrlProp63.xml><?xml version="1.0" encoding="utf-8"?>
<formControlPr xmlns="http://schemas.microsoft.com/office/spreadsheetml/2009/9/main" objectType="Spin" dx="39" fmlaLink="$I$74" max="30000" page="10" val="65"/>
</file>

<file path=xl/ctrlProps/ctrlProp64.xml><?xml version="1.0" encoding="utf-8"?>
<formControlPr xmlns="http://schemas.microsoft.com/office/spreadsheetml/2009/9/main" objectType="Spin" dx="39" fmlaLink="$I$73" max="30000" page="10" val="178"/>
</file>

<file path=xl/ctrlProps/ctrlProp65.xml><?xml version="1.0" encoding="utf-8"?>
<formControlPr xmlns="http://schemas.microsoft.com/office/spreadsheetml/2009/9/main" objectType="Spin" dx="39" fmlaLink="$M$80" max="30000" page="10" val="260"/>
</file>

<file path=xl/ctrlProps/ctrlProp66.xml><?xml version="1.0" encoding="utf-8"?>
<formControlPr xmlns="http://schemas.microsoft.com/office/spreadsheetml/2009/9/main" objectType="Spin" dx="39" fmlaLink="$M$79" max="30000" page="10" val="260"/>
</file>

<file path=xl/ctrlProps/ctrlProp67.xml><?xml version="1.0" encoding="utf-8"?>
<formControlPr xmlns="http://schemas.microsoft.com/office/spreadsheetml/2009/9/main" objectType="Spin" dx="39" fmlaLink="$M$78" max="30000" page="10" val="55"/>
</file>

<file path=xl/ctrlProps/ctrlProp68.xml><?xml version="1.0" encoding="utf-8"?>
<formControlPr xmlns="http://schemas.microsoft.com/office/spreadsheetml/2009/9/main" objectType="Spin" dx="39" fmlaLink="$M$77" max="30000" page="10" val="70"/>
</file>

<file path=xl/ctrlProps/ctrlProp69.xml><?xml version="1.0" encoding="utf-8"?>
<formControlPr xmlns="http://schemas.microsoft.com/office/spreadsheetml/2009/9/main" objectType="Spin" dx="39" fmlaLink="$M$76" max="30000" page="10" val="66"/>
</file>

<file path=xl/ctrlProps/ctrlProp7.xml><?xml version="1.0" encoding="utf-8"?>
<formControlPr xmlns="http://schemas.microsoft.com/office/spreadsheetml/2009/9/main" objectType="Spin" dx="39" fmlaLink="$E$22" max="30000" page="10" val="249"/>
</file>

<file path=xl/ctrlProps/ctrlProp70.xml><?xml version="1.0" encoding="utf-8"?>
<formControlPr xmlns="http://schemas.microsoft.com/office/spreadsheetml/2009/9/main" objectType="Spin" dx="39" fmlaLink="$M$75" max="30000" page="10" val="60"/>
</file>

<file path=xl/ctrlProps/ctrlProp71.xml><?xml version="1.0" encoding="utf-8"?>
<formControlPr xmlns="http://schemas.microsoft.com/office/spreadsheetml/2009/9/main" objectType="Spin" dx="39" fmlaLink="$M$74" max="30000" page="10" val="28"/>
</file>

<file path=xl/ctrlProps/ctrlProp72.xml><?xml version="1.0" encoding="utf-8"?>
<formControlPr xmlns="http://schemas.microsoft.com/office/spreadsheetml/2009/9/main" objectType="Spin" dx="39" fmlaLink="$M$73" max="30000" page="10" val="170"/>
</file>

<file path=xl/ctrlProps/ctrlProp73.xml><?xml version="1.0" encoding="utf-8"?>
<formControlPr xmlns="http://schemas.microsoft.com/office/spreadsheetml/2009/9/main" objectType="Spin" dx="39" fmlaLink="$E$103" max="30000" page="10" val="534"/>
</file>

<file path=xl/ctrlProps/ctrlProp74.xml><?xml version="1.0" encoding="utf-8"?>
<formControlPr xmlns="http://schemas.microsoft.com/office/spreadsheetml/2009/9/main" objectType="Spin" dx="39" fmlaLink="$E$104" max="30000" page="10" val="3189"/>
</file>

<file path=xl/ctrlProps/ctrlProp75.xml><?xml version="1.0" encoding="utf-8"?>
<formControlPr xmlns="http://schemas.microsoft.com/office/spreadsheetml/2009/9/main" objectType="Spin" dx="39" fmlaLink="$E$105" max="30000" page="10" val="403"/>
</file>

<file path=xl/ctrlProps/ctrlProp76.xml><?xml version="1.0" encoding="utf-8"?>
<formControlPr xmlns="http://schemas.microsoft.com/office/spreadsheetml/2009/9/main" objectType="Spin" dx="39" fmlaLink="$E$106" max="30000" page="10" val="2247"/>
</file>

<file path=xl/ctrlProps/ctrlProp77.xml><?xml version="1.0" encoding="utf-8"?>
<formControlPr xmlns="http://schemas.microsoft.com/office/spreadsheetml/2009/9/main" objectType="Spin" dx="39" fmlaLink="$E$107" max="30000" page="10" val="2548"/>
</file>

<file path=xl/ctrlProps/ctrlProp78.xml><?xml version="1.0" encoding="utf-8"?>
<formControlPr xmlns="http://schemas.microsoft.com/office/spreadsheetml/2009/9/main" objectType="Spin" dx="39" fmlaLink="$E$108" max="30000" page="10" val="592"/>
</file>

<file path=xl/ctrlProps/ctrlProp79.xml><?xml version="1.0" encoding="utf-8"?>
<formControlPr xmlns="http://schemas.microsoft.com/office/spreadsheetml/2009/9/main" objectType="Spin" dx="39" fmlaLink="$E$109" max="30000" page="10" val="249"/>
</file>

<file path=xl/ctrlProps/ctrlProp8.xml><?xml version="1.0" encoding="utf-8"?>
<formControlPr xmlns="http://schemas.microsoft.com/office/spreadsheetml/2009/9/main" objectType="Spin" dx="39" fmlaLink="$E$23" max="30000" page="10" val="240"/>
</file>

<file path=xl/ctrlProps/ctrlProp80.xml><?xml version="1.0" encoding="utf-8"?>
<formControlPr xmlns="http://schemas.microsoft.com/office/spreadsheetml/2009/9/main" objectType="Spin" dx="39" fmlaLink="$E$110" max="30000" page="10" val="241"/>
</file>

<file path=xl/ctrlProps/ctrlProp81.xml><?xml version="1.0" encoding="utf-8"?>
<formControlPr xmlns="http://schemas.microsoft.com/office/spreadsheetml/2009/9/main" objectType="Spin" dx="39" fmlaLink="$I$103" max="30000" page="10" val="155"/>
</file>

<file path=xl/ctrlProps/ctrlProp82.xml><?xml version="1.0" encoding="utf-8"?>
<formControlPr xmlns="http://schemas.microsoft.com/office/spreadsheetml/2009/9/main" objectType="Spin" dx="39" fmlaLink="$I$104" max="30000" page="10" val="143"/>
</file>

<file path=xl/ctrlProps/ctrlProp83.xml><?xml version="1.0" encoding="utf-8"?>
<formControlPr xmlns="http://schemas.microsoft.com/office/spreadsheetml/2009/9/main" objectType="Spin" dx="39" fmlaLink="$I$105" max="30000" page="10" val="143"/>
</file>

<file path=xl/ctrlProps/ctrlProp84.xml><?xml version="1.0" encoding="utf-8"?>
<formControlPr xmlns="http://schemas.microsoft.com/office/spreadsheetml/2009/9/main" objectType="Spin" dx="39" fmlaLink="$I$106" max="30000" page="10" val="143"/>
</file>

<file path=xl/ctrlProps/ctrlProp85.xml><?xml version="1.0" encoding="utf-8"?>
<formControlPr xmlns="http://schemas.microsoft.com/office/spreadsheetml/2009/9/main" objectType="Spin" dx="39" fmlaLink="$I$107" max="30000" page="10" val="149"/>
</file>

<file path=xl/ctrlProps/ctrlProp86.xml><?xml version="1.0" encoding="utf-8"?>
<formControlPr xmlns="http://schemas.microsoft.com/office/spreadsheetml/2009/9/main" objectType="Spin" dx="39" fmlaLink="$I$108" max="30000" page="10" val="143"/>
</file>

<file path=xl/ctrlProps/ctrlProp87.xml><?xml version="1.0" encoding="utf-8"?>
<formControlPr xmlns="http://schemas.microsoft.com/office/spreadsheetml/2009/9/main" objectType="Spin" dx="39" fmlaLink="$I$109" max="30000" page="10" val="145"/>
</file>

<file path=xl/ctrlProps/ctrlProp88.xml><?xml version="1.0" encoding="utf-8"?>
<formControlPr xmlns="http://schemas.microsoft.com/office/spreadsheetml/2009/9/main" objectType="Spin" dx="39" fmlaLink="$I$110" max="30000" page="10" val="139"/>
</file>

<file path=xl/ctrlProps/ctrlProp89.xml><?xml version="1.0" encoding="utf-8"?>
<formControlPr xmlns="http://schemas.microsoft.com/office/spreadsheetml/2009/9/main" objectType="Spin" dx="39" fmlaLink="$M$103" max="30000" page="10" val="170"/>
</file>

<file path=xl/ctrlProps/ctrlProp9.xml><?xml version="1.0" encoding="utf-8"?>
<formControlPr xmlns="http://schemas.microsoft.com/office/spreadsheetml/2009/9/main" objectType="Spin" dx="39" fmlaLink="$I$16" max="30000" page="10" val="165"/>
</file>

<file path=xl/ctrlProps/ctrlProp90.xml><?xml version="1.0" encoding="utf-8"?>
<formControlPr xmlns="http://schemas.microsoft.com/office/spreadsheetml/2009/9/main" objectType="Spin" dx="39" fmlaLink="$M$104" max="30000" page="10" val="28"/>
</file>

<file path=xl/ctrlProps/ctrlProp91.xml><?xml version="1.0" encoding="utf-8"?>
<formControlPr xmlns="http://schemas.microsoft.com/office/spreadsheetml/2009/9/main" objectType="Spin" dx="39" fmlaLink="$M$105" max="30000" page="10" val="60"/>
</file>

<file path=xl/ctrlProps/ctrlProp92.xml><?xml version="1.0" encoding="utf-8"?>
<formControlPr xmlns="http://schemas.microsoft.com/office/spreadsheetml/2009/9/main" objectType="Spin" dx="39" fmlaLink="$M$106" max="30000" page="10" val="66"/>
</file>

<file path=xl/ctrlProps/ctrlProp93.xml><?xml version="1.0" encoding="utf-8"?>
<formControlPr xmlns="http://schemas.microsoft.com/office/spreadsheetml/2009/9/main" objectType="Spin" dx="39" fmlaLink="$M$107" max="30000" page="10" val="70"/>
</file>

<file path=xl/ctrlProps/ctrlProp94.xml><?xml version="1.0" encoding="utf-8"?>
<formControlPr xmlns="http://schemas.microsoft.com/office/spreadsheetml/2009/9/main" objectType="Spin" dx="39" fmlaLink="$M$108" max="30000" page="10" val="55"/>
</file>

<file path=xl/ctrlProps/ctrlProp95.xml><?xml version="1.0" encoding="utf-8"?>
<formControlPr xmlns="http://schemas.microsoft.com/office/spreadsheetml/2009/9/main" objectType="Spin" dx="39" fmlaLink="$M$109" max="30000" page="10" val="322"/>
</file>

<file path=xl/ctrlProps/ctrlProp96.xml><?xml version="1.0" encoding="utf-8"?>
<formControlPr xmlns="http://schemas.microsoft.com/office/spreadsheetml/2009/9/main" objectType="Spin" dx="39" fmlaLink="$M$110" max="30000" page="10" val="285"/>
</file>

<file path=xl/ctrlProps/ctrlProp97.xml><?xml version="1.0" encoding="utf-8"?>
<formControlPr xmlns="http://schemas.microsoft.com/office/spreadsheetml/2009/9/main" objectType="Spin" dx="39" fmlaLink="$R$16" max="30000" page="10" val="999"/>
</file>

<file path=xl/ctrlProps/ctrlProp98.xml><?xml version="1.0" encoding="utf-8"?>
<formControlPr xmlns="http://schemas.microsoft.com/office/spreadsheetml/2009/9/main" objectType="Spin" dx="39" fmlaLink="$R$17" max="30000" page="10" val="289"/>
</file>

<file path=xl/ctrlProps/ctrlProp99.xml><?xml version="1.0" encoding="utf-8"?>
<formControlPr xmlns="http://schemas.microsoft.com/office/spreadsheetml/2009/9/main" objectType="Spin" dx="39" fmlaLink="$R$18" max="30000" page="10" val="469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6.xml"/><Relationship Id="rId7" Type="http://schemas.openxmlformats.org/officeDocument/2006/relationships/image" Target="../media/image1.png"/><Relationship Id="rId12" Type="http://schemas.openxmlformats.org/officeDocument/2006/relationships/chart" Target="../charts/chart12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image" Target="../media/image3.png"/><Relationship Id="rId5" Type="http://schemas.openxmlformats.org/officeDocument/2006/relationships/chart" Target="../charts/chart8.xml"/><Relationship Id="rId10" Type="http://schemas.openxmlformats.org/officeDocument/2006/relationships/image" Target="../media/image2.png"/><Relationship Id="rId4" Type="http://schemas.openxmlformats.org/officeDocument/2006/relationships/chart" Target="../charts/chart7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446087</xdr:colOff>
      <xdr:row>4</xdr:row>
      <xdr:rowOff>7937</xdr:rowOff>
    </xdr:from>
    <xdr:to>
      <xdr:col>38</xdr:col>
      <xdr:colOff>141287</xdr:colOff>
      <xdr:row>27</xdr:row>
      <xdr:rowOff>1587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A420F-5ED3-90A5-6D99-A5385FEDD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430212</xdr:colOff>
      <xdr:row>28</xdr:row>
      <xdr:rowOff>93662</xdr:rowOff>
    </xdr:from>
    <xdr:to>
      <xdr:col>38</xdr:col>
      <xdr:colOff>125412</xdr:colOff>
      <xdr:row>53</xdr:row>
      <xdr:rowOff>77787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01AA57-52CF-5C0B-C812-B5E84E79C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39687</xdr:colOff>
      <xdr:row>41</xdr:row>
      <xdr:rowOff>49212</xdr:rowOff>
    </xdr:from>
    <xdr:to>
      <xdr:col>29</xdr:col>
      <xdr:colOff>428625</xdr:colOff>
      <xdr:row>73</xdr:row>
      <xdr:rowOff>111125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74CAFC-6F02-32E2-9DA1-E744377F5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442912</xdr:colOff>
      <xdr:row>3</xdr:row>
      <xdr:rowOff>22225</xdr:rowOff>
    </xdr:from>
    <xdr:to>
      <xdr:col>21</xdr:col>
      <xdr:colOff>157162</xdr:colOff>
      <xdr:row>28</xdr:row>
      <xdr:rowOff>73025</xdr:rowOff>
    </xdr:to>
    <xdr:graphicFrame macro="">
      <xdr:nvGraphicFramePr>
        <xdr:cNvPr id="50" name="Chart 4">
          <a:extLst>
            <a:ext uri="{FF2B5EF4-FFF2-40B4-BE49-F238E27FC236}">
              <a16:creationId xmlns:a16="http://schemas.microsoft.com/office/drawing/2014/main" id="{D42CC49C-BA31-4E71-A094-B94219C26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444500</xdr:colOff>
      <xdr:row>28</xdr:row>
      <xdr:rowOff>131764</xdr:rowOff>
    </xdr:from>
    <xdr:to>
      <xdr:col>21</xdr:col>
      <xdr:colOff>152400</xdr:colOff>
      <xdr:row>54</xdr:row>
      <xdr:rowOff>23814</xdr:rowOff>
    </xdr:to>
    <xdr:graphicFrame macro="">
      <xdr:nvGraphicFramePr>
        <xdr:cNvPr id="76" name="Chart 3">
          <a:extLst>
            <a:ext uri="{FF2B5EF4-FFF2-40B4-BE49-F238E27FC236}">
              <a16:creationId xmlns:a16="http://schemas.microsoft.com/office/drawing/2014/main" id="{CD2B10D8-650B-49D0-B88C-39B551C10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64220</xdr:colOff>
      <xdr:row>29</xdr:row>
      <xdr:rowOff>26843</xdr:rowOff>
    </xdr:from>
    <xdr:to>
      <xdr:col>41</xdr:col>
      <xdr:colOff>212291</xdr:colOff>
      <xdr:row>54</xdr:row>
      <xdr:rowOff>55418</xdr:rowOff>
    </xdr:to>
    <xdr:graphicFrame macro="">
      <xdr:nvGraphicFramePr>
        <xdr:cNvPr id="145" name="Chart 7">
          <a:extLst>
            <a:ext uri="{FF2B5EF4-FFF2-40B4-BE49-F238E27FC236}">
              <a16:creationId xmlns:a16="http://schemas.microsoft.com/office/drawing/2014/main" id="{83910285-722A-45C9-BBBE-635C82A63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141142</xdr:colOff>
      <xdr:row>3</xdr:row>
      <xdr:rowOff>16451</xdr:rowOff>
    </xdr:from>
    <xdr:to>
      <xdr:col>41</xdr:col>
      <xdr:colOff>327313</xdr:colOff>
      <xdr:row>28</xdr:row>
      <xdr:rowOff>74467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0883C1D0-515B-4112-97C2-0F565665F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614074</xdr:colOff>
      <xdr:row>3</xdr:row>
      <xdr:rowOff>167840</xdr:rowOff>
    </xdr:from>
    <xdr:to>
      <xdr:col>51</xdr:col>
      <xdr:colOff>375804</xdr:colOff>
      <xdr:row>29</xdr:row>
      <xdr:rowOff>43149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DF06955F-3C0F-4627-BD8A-DA9308CE3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264536</xdr:colOff>
      <xdr:row>54</xdr:row>
      <xdr:rowOff>171450</xdr:rowOff>
    </xdr:from>
    <xdr:to>
      <xdr:col>40</xdr:col>
      <xdr:colOff>628218</xdr:colOff>
      <xdr:row>79</xdr:row>
      <xdr:rowOff>161925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5923E257-ECE6-4A67-B02B-64F59490A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42</xdr:col>
      <xdr:colOff>0</xdr:colOff>
      <xdr:row>30</xdr:row>
      <xdr:rowOff>0</xdr:rowOff>
    </xdr:from>
    <xdr:to>
      <xdr:col>51</xdr:col>
      <xdr:colOff>345025</xdr:colOff>
      <xdr:row>55</xdr:row>
      <xdr:rowOff>45253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CDE3B7-7B7D-1E03-DDF7-027163B56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503188" y="5357813"/>
          <a:ext cx="5809992" cy="4505334"/>
        </a:xfrm>
        <a:prstGeom prst="rect">
          <a:avLst/>
        </a:prstGeom>
      </xdr:spPr>
    </xdr:pic>
    <xdr:clientData/>
  </xdr:twoCellAnchor>
  <xdr:twoCellAnchor>
    <xdr:from>
      <xdr:col>2</xdr:col>
      <xdr:colOff>5557</xdr:colOff>
      <xdr:row>3</xdr:row>
      <xdr:rowOff>22225</xdr:rowOff>
    </xdr:from>
    <xdr:to>
      <xdr:col>11</xdr:col>
      <xdr:colOff>396082</xdr:colOff>
      <xdr:row>28</xdr:row>
      <xdr:rowOff>82549</xdr:rowOff>
    </xdr:to>
    <xdr:graphicFrame macro="">
      <xdr:nvGraphicFramePr>
        <xdr:cNvPr id="24" name="Chart 2">
          <a:extLst>
            <a:ext uri="{FF2B5EF4-FFF2-40B4-BE49-F238E27FC236}">
              <a16:creationId xmlns:a16="http://schemas.microsoft.com/office/drawing/2014/main" id="{7D5AC37C-BB07-A1E4-709B-F3A006BEA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11340</xdr:colOff>
      <xdr:row>28</xdr:row>
      <xdr:rowOff>131309</xdr:rowOff>
    </xdr:from>
    <xdr:to>
      <xdr:col>11</xdr:col>
      <xdr:colOff>390412</xdr:colOff>
      <xdr:row>53</xdr:row>
      <xdr:rowOff>162151</xdr:rowOff>
    </xdr:to>
    <xdr:graphicFrame macro="">
      <xdr:nvGraphicFramePr>
        <xdr:cNvPr id="26" name="Chart 8">
          <a:extLst>
            <a:ext uri="{FF2B5EF4-FFF2-40B4-BE49-F238E27FC236}">
              <a16:creationId xmlns:a16="http://schemas.microsoft.com/office/drawing/2014/main" id="{4BB2C7A9-BEEF-C370-38DA-AEAA369AA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410441</xdr:colOff>
      <xdr:row>54</xdr:row>
      <xdr:rowOff>80529</xdr:rowOff>
    </xdr:from>
    <xdr:to>
      <xdr:col>21</xdr:col>
      <xdr:colOff>151535</xdr:colOff>
      <xdr:row>79</xdr:row>
      <xdr:rowOff>61488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DC2660A-A1A9-7825-F3ED-E26900E80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554191" y="9899938"/>
          <a:ext cx="6235412" cy="4526982"/>
        </a:xfrm>
        <a:prstGeom prst="rect">
          <a:avLst/>
        </a:prstGeom>
      </xdr:spPr>
    </xdr:pic>
    <xdr:clientData/>
  </xdr:twoCellAnchor>
  <xdr:twoCellAnchor editAs="oneCell">
    <xdr:from>
      <xdr:col>1</xdr:col>
      <xdr:colOff>648566</xdr:colOff>
      <xdr:row>54</xdr:row>
      <xdr:rowOff>52819</xdr:rowOff>
    </xdr:from>
    <xdr:to>
      <xdr:col>11</xdr:col>
      <xdr:colOff>346364</xdr:colOff>
      <xdr:row>79</xdr:row>
      <xdr:rowOff>72503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9F7EE92-F826-2014-589B-27C6BE2F5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97998" y="9872228"/>
          <a:ext cx="6192116" cy="4565707"/>
        </a:xfrm>
        <a:prstGeom prst="rect">
          <a:avLst/>
        </a:prstGeom>
      </xdr:spPr>
    </xdr:pic>
    <xdr:clientData/>
  </xdr:twoCellAnchor>
  <xdr:twoCellAnchor>
    <xdr:from>
      <xdr:col>1</xdr:col>
      <xdr:colOff>607433</xdr:colOff>
      <xdr:row>80</xdr:row>
      <xdr:rowOff>142441</xdr:rowOff>
    </xdr:from>
    <xdr:to>
      <xdr:col>21</xdr:col>
      <xdr:colOff>121227</xdr:colOff>
      <xdr:row>102</xdr:row>
      <xdr:rowOff>173182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7E5CE9-BFD3-40E8-B274-161AB9E06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95250</xdr:colOff>
          <xdr:row>4</xdr:row>
          <xdr:rowOff>38100</xdr:rowOff>
        </xdr:from>
        <xdr:to>
          <xdr:col>6</xdr:col>
          <xdr:colOff>914400</xdr:colOff>
          <xdr:row>4</xdr:row>
          <xdr:rowOff>476250</xdr:rowOff>
        </xdr:to>
        <xdr:sp macro="" textlink="">
          <xdr:nvSpPr>
            <xdr:cNvPr id="11265" name="Spinner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7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95250</xdr:colOff>
          <xdr:row>5</xdr:row>
          <xdr:rowOff>38100</xdr:rowOff>
        </xdr:from>
        <xdr:to>
          <xdr:col>6</xdr:col>
          <xdr:colOff>914400</xdr:colOff>
          <xdr:row>5</xdr:row>
          <xdr:rowOff>476250</xdr:rowOff>
        </xdr:to>
        <xdr:sp macro="" textlink="">
          <xdr:nvSpPr>
            <xdr:cNvPr id="11266" name="Spinner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7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95250</xdr:colOff>
          <xdr:row>6</xdr:row>
          <xdr:rowOff>38100</xdr:rowOff>
        </xdr:from>
        <xdr:to>
          <xdr:col>6</xdr:col>
          <xdr:colOff>914400</xdr:colOff>
          <xdr:row>6</xdr:row>
          <xdr:rowOff>476250</xdr:rowOff>
        </xdr:to>
        <xdr:sp macro="" textlink="">
          <xdr:nvSpPr>
            <xdr:cNvPr id="11267" name="Spinner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7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95250</xdr:colOff>
          <xdr:row>7</xdr:row>
          <xdr:rowOff>38100</xdr:rowOff>
        </xdr:from>
        <xdr:to>
          <xdr:col>6</xdr:col>
          <xdr:colOff>914400</xdr:colOff>
          <xdr:row>7</xdr:row>
          <xdr:rowOff>476250</xdr:rowOff>
        </xdr:to>
        <xdr:sp macro="" textlink="">
          <xdr:nvSpPr>
            <xdr:cNvPr id="11268" name="Spinner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7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95250</xdr:colOff>
          <xdr:row>8</xdr:row>
          <xdr:rowOff>19050</xdr:rowOff>
        </xdr:from>
        <xdr:to>
          <xdr:col>6</xdr:col>
          <xdr:colOff>914400</xdr:colOff>
          <xdr:row>8</xdr:row>
          <xdr:rowOff>438150</xdr:rowOff>
        </xdr:to>
        <xdr:sp macro="" textlink="">
          <xdr:nvSpPr>
            <xdr:cNvPr id="11270" name="Spinner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7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95250</xdr:colOff>
          <xdr:row>9</xdr:row>
          <xdr:rowOff>38100</xdr:rowOff>
        </xdr:from>
        <xdr:to>
          <xdr:col>6</xdr:col>
          <xdr:colOff>914400</xdr:colOff>
          <xdr:row>9</xdr:row>
          <xdr:rowOff>476250</xdr:rowOff>
        </xdr:to>
        <xdr:sp macro="" textlink="">
          <xdr:nvSpPr>
            <xdr:cNvPr id="11272" name="Spinner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7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95250</xdr:colOff>
          <xdr:row>10</xdr:row>
          <xdr:rowOff>38100</xdr:rowOff>
        </xdr:from>
        <xdr:to>
          <xdr:col>6</xdr:col>
          <xdr:colOff>914400</xdr:colOff>
          <xdr:row>10</xdr:row>
          <xdr:rowOff>476250</xdr:rowOff>
        </xdr:to>
        <xdr:sp macro="" textlink="">
          <xdr:nvSpPr>
            <xdr:cNvPr id="11274" name="Spinner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7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95250</xdr:colOff>
          <xdr:row>11</xdr:row>
          <xdr:rowOff>38100</xdr:rowOff>
        </xdr:from>
        <xdr:to>
          <xdr:col>6</xdr:col>
          <xdr:colOff>914400</xdr:colOff>
          <xdr:row>11</xdr:row>
          <xdr:rowOff>476250</xdr:rowOff>
        </xdr:to>
        <xdr:sp macro="" textlink="">
          <xdr:nvSpPr>
            <xdr:cNvPr id="11276" name="Spinner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7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95250</xdr:colOff>
          <xdr:row>4</xdr:row>
          <xdr:rowOff>38100</xdr:rowOff>
        </xdr:from>
        <xdr:to>
          <xdr:col>10</xdr:col>
          <xdr:colOff>914400</xdr:colOff>
          <xdr:row>4</xdr:row>
          <xdr:rowOff>476250</xdr:rowOff>
        </xdr:to>
        <xdr:sp macro="" textlink="">
          <xdr:nvSpPr>
            <xdr:cNvPr id="11277" name="Spinner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7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95250</xdr:colOff>
          <xdr:row>5</xdr:row>
          <xdr:rowOff>38100</xdr:rowOff>
        </xdr:from>
        <xdr:to>
          <xdr:col>10</xdr:col>
          <xdr:colOff>914400</xdr:colOff>
          <xdr:row>5</xdr:row>
          <xdr:rowOff>476250</xdr:rowOff>
        </xdr:to>
        <xdr:sp macro="" textlink="">
          <xdr:nvSpPr>
            <xdr:cNvPr id="11278" name="Spinner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00000000-0008-0000-0700-00000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95250</xdr:colOff>
          <xdr:row>6</xdr:row>
          <xdr:rowOff>38100</xdr:rowOff>
        </xdr:from>
        <xdr:to>
          <xdr:col>10</xdr:col>
          <xdr:colOff>914400</xdr:colOff>
          <xdr:row>6</xdr:row>
          <xdr:rowOff>476250</xdr:rowOff>
        </xdr:to>
        <xdr:sp macro="" textlink="">
          <xdr:nvSpPr>
            <xdr:cNvPr id="11279" name="Spinner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00000000-0008-0000-0700-00000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95250</xdr:colOff>
          <xdr:row>7</xdr:row>
          <xdr:rowOff>38100</xdr:rowOff>
        </xdr:from>
        <xdr:to>
          <xdr:col>10</xdr:col>
          <xdr:colOff>914400</xdr:colOff>
          <xdr:row>7</xdr:row>
          <xdr:rowOff>476250</xdr:rowOff>
        </xdr:to>
        <xdr:sp macro="" textlink="">
          <xdr:nvSpPr>
            <xdr:cNvPr id="11280" name="Spinner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00000000-0008-0000-0700-00001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95250</xdr:colOff>
          <xdr:row>8</xdr:row>
          <xdr:rowOff>38100</xdr:rowOff>
        </xdr:from>
        <xdr:to>
          <xdr:col>10</xdr:col>
          <xdr:colOff>914400</xdr:colOff>
          <xdr:row>8</xdr:row>
          <xdr:rowOff>476250</xdr:rowOff>
        </xdr:to>
        <xdr:sp macro="" textlink="">
          <xdr:nvSpPr>
            <xdr:cNvPr id="11281" name="Spinner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00000000-0008-0000-0700-00001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95250</xdr:colOff>
          <xdr:row>9</xdr:row>
          <xdr:rowOff>38100</xdr:rowOff>
        </xdr:from>
        <xdr:to>
          <xdr:col>10</xdr:col>
          <xdr:colOff>914400</xdr:colOff>
          <xdr:row>9</xdr:row>
          <xdr:rowOff>476250</xdr:rowOff>
        </xdr:to>
        <xdr:sp macro="" textlink="">
          <xdr:nvSpPr>
            <xdr:cNvPr id="11282" name="Spinner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00000000-0008-0000-0700-00001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95250</xdr:colOff>
          <xdr:row>10</xdr:row>
          <xdr:rowOff>38100</xdr:rowOff>
        </xdr:from>
        <xdr:to>
          <xdr:col>10</xdr:col>
          <xdr:colOff>914400</xdr:colOff>
          <xdr:row>10</xdr:row>
          <xdr:rowOff>476250</xdr:rowOff>
        </xdr:to>
        <xdr:sp macro="" textlink="">
          <xdr:nvSpPr>
            <xdr:cNvPr id="11283" name="Spinner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00000000-0008-0000-0700-00001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95250</xdr:colOff>
          <xdr:row>11</xdr:row>
          <xdr:rowOff>38100</xdr:rowOff>
        </xdr:from>
        <xdr:to>
          <xdr:col>10</xdr:col>
          <xdr:colOff>914400</xdr:colOff>
          <xdr:row>11</xdr:row>
          <xdr:rowOff>476250</xdr:rowOff>
        </xdr:to>
        <xdr:sp macro="" textlink="">
          <xdr:nvSpPr>
            <xdr:cNvPr id="11284" name="Spinner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00000000-0008-0000-0700-00001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95250</xdr:colOff>
          <xdr:row>4</xdr:row>
          <xdr:rowOff>38100</xdr:rowOff>
        </xdr:from>
        <xdr:to>
          <xdr:col>14</xdr:col>
          <xdr:colOff>914400</xdr:colOff>
          <xdr:row>4</xdr:row>
          <xdr:rowOff>476250</xdr:rowOff>
        </xdr:to>
        <xdr:sp macro="" textlink="">
          <xdr:nvSpPr>
            <xdr:cNvPr id="11285" name="Spinner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00000000-0008-0000-0700-00001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95250</xdr:colOff>
          <xdr:row>5</xdr:row>
          <xdr:rowOff>38100</xdr:rowOff>
        </xdr:from>
        <xdr:to>
          <xdr:col>14</xdr:col>
          <xdr:colOff>914400</xdr:colOff>
          <xdr:row>5</xdr:row>
          <xdr:rowOff>476250</xdr:rowOff>
        </xdr:to>
        <xdr:sp macro="" textlink="">
          <xdr:nvSpPr>
            <xdr:cNvPr id="11286" name="Spinner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00000000-0008-0000-0700-00001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95250</xdr:colOff>
          <xdr:row>6</xdr:row>
          <xdr:rowOff>38100</xdr:rowOff>
        </xdr:from>
        <xdr:to>
          <xdr:col>14</xdr:col>
          <xdr:colOff>914400</xdr:colOff>
          <xdr:row>6</xdr:row>
          <xdr:rowOff>476250</xdr:rowOff>
        </xdr:to>
        <xdr:sp macro="" textlink="">
          <xdr:nvSpPr>
            <xdr:cNvPr id="11287" name="Spinner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00000000-0008-0000-0700-00001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95250</xdr:colOff>
          <xdr:row>7</xdr:row>
          <xdr:rowOff>38100</xdr:rowOff>
        </xdr:from>
        <xdr:to>
          <xdr:col>14</xdr:col>
          <xdr:colOff>914400</xdr:colOff>
          <xdr:row>7</xdr:row>
          <xdr:rowOff>476250</xdr:rowOff>
        </xdr:to>
        <xdr:sp macro="" textlink="">
          <xdr:nvSpPr>
            <xdr:cNvPr id="11288" name="Spinner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00000000-0008-0000-0700-00001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95250</xdr:colOff>
          <xdr:row>8</xdr:row>
          <xdr:rowOff>38100</xdr:rowOff>
        </xdr:from>
        <xdr:to>
          <xdr:col>14</xdr:col>
          <xdr:colOff>914400</xdr:colOff>
          <xdr:row>8</xdr:row>
          <xdr:rowOff>476250</xdr:rowOff>
        </xdr:to>
        <xdr:sp macro="" textlink="">
          <xdr:nvSpPr>
            <xdr:cNvPr id="11289" name="Spinner 25" hidden="1">
              <a:extLst>
                <a:ext uri="{63B3BB69-23CF-44E3-9099-C40C66FF867C}">
                  <a14:compatExt spid="_x0000_s11289"/>
                </a:ext>
                <a:ext uri="{FF2B5EF4-FFF2-40B4-BE49-F238E27FC236}">
                  <a16:creationId xmlns:a16="http://schemas.microsoft.com/office/drawing/2014/main" id="{00000000-0008-0000-0700-00001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95250</xdr:colOff>
          <xdr:row>9</xdr:row>
          <xdr:rowOff>38100</xdr:rowOff>
        </xdr:from>
        <xdr:to>
          <xdr:col>14</xdr:col>
          <xdr:colOff>914400</xdr:colOff>
          <xdr:row>9</xdr:row>
          <xdr:rowOff>476250</xdr:rowOff>
        </xdr:to>
        <xdr:sp macro="" textlink="">
          <xdr:nvSpPr>
            <xdr:cNvPr id="11290" name="Spinner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00000000-0008-0000-0700-00001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95250</xdr:colOff>
          <xdr:row>10</xdr:row>
          <xdr:rowOff>38100</xdr:rowOff>
        </xdr:from>
        <xdr:to>
          <xdr:col>14</xdr:col>
          <xdr:colOff>914400</xdr:colOff>
          <xdr:row>10</xdr:row>
          <xdr:rowOff>476250</xdr:rowOff>
        </xdr:to>
        <xdr:sp macro="" textlink="">
          <xdr:nvSpPr>
            <xdr:cNvPr id="11291" name="Spinner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00000000-0008-0000-0700-00001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95250</xdr:colOff>
          <xdr:row>11</xdr:row>
          <xdr:rowOff>38100</xdr:rowOff>
        </xdr:from>
        <xdr:to>
          <xdr:col>14</xdr:col>
          <xdr:colOff>914400</xdr:colOff>
          <xdr:row>11</xdr:row>
          <xdr:rowOff>476250</xdr:rowOff>
        </xdr:to>
        <xdr:sp macro="" textlink="">
          <xdr:nvSpPr>
            <xdr:cNvPr id="11292" name="Spinner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00000000-0008-0000-0700-00001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31</xdr:row>
          <xdr:rowOff>19050</xdr:rowOff>
        </xdr:from>
        <xdr:to>
          <xdr:col>6</xdr:col>
          <xdr:colOff>476250</xdr:colOff>
          <xdr:row>31</xdr:row>
          <xdr:rowOff>800100</xdr:rowOff>
        </xdr:to>
        <xdr:sp macro="" textlink="">
          <xdr:nvSpPr>
            <xdr:cNvPr id="11349" name="Spinner 85" hidden="1">
              <a:extLst>
                <a:ext uri="{63B3BB69-23CF-44E3-9099-C40C66FF867C}">
                  <a14:compatExt spid="_x0000_s11349"/>
                </a:ext>
                <a:ext uri="{FF2B5EF4-FFF2-40B4-BE49-F238E27FC236}">
                  <a16:creationId xmlns:a16="http://schemas.microsoft.com/office/drawing/2014/main" id="{00000000-0008-0000-0700-00005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32</xdr:row>
          <xdr:rowOff>38100</xdr:rowOff>
        </xdr:from>
        <xdr:to>
          <xdr:col>6</xdr:col>
          <xdr:colOff>476250</xdr:colOff>
          <xdr:row>32</xdr:row>
          <xdr:rowOff>800100</xdr:rowOff>
        </xdr:to>
        <xdr:sp macro="" textlink="">
          <xdr:nvSpPr>
            <xdr:cNvPr id="11350" name="Spinner 86" hidden="1">
              <a:extLst>
                <a:ext uri="{63B3BB69-23CF-44E3-9099-C40C66FF867C}">
                  <a14:compatExt spid="_x0000_s11350"/>
                </a:ext>
                <a:ext uri="{FF2B5EF4-FFF2-40B4-BE49-F238E27FC236}">
                  <a16:creationId xmlns:a16="http://schemas.microsoft.com/office/drawing/2014/main" id="{00000000-0008-0000-0700-00005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33</xdr:row>
          <xdr:rowOff>38100</xdr:rowOff>
        </xdr:from>
        <xdr:to>
          <xdr:col>6</xdr:col>
          <xdr:colOff>476250</xdr:colOff>
          <xdr:row>33</xdr:row>
          <xdr:rowOff>800100</xdr:rowOff>
        </xdr:to>
        <xdr:sp macro="" textlink="">
          <xdr:nvSpPr>
            <xdr:cNvPr id="11353" name="Spinner 89" hidden="1">
              <a:extLst>
                <a:ext uri="{63B3BB69-23CF-44E3-9099-C40C66FF867C}">
                  <a14:compatExt spid="_x0000_s11353"/>
                </a:ext>
                <a:ext uri="{FF2B5EF4-FFF2-40B4-BE49-F238E27FC236}">
                  <a16:creationId xmlns:a16="http://schemas.microsoft.com/office/drawing/2014/main" id="{00000000-0008-0000-0700-00005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34</xdr:row>
          <xdr:rowOff>38100</xdr:rowOff>
        </xdr:from>
        <xdr:to>
          <xdr:col>6</xdr:col>
          <xdr:colOff>476250</xdr:colOff>
          <xdr:row>34</xdr:row>
          <xdr:rowOff>800100</xdr:rowOff>
        </xdr:to>
        <xdr:sp macro="" textlink="">
          <xdr:nvSpPr>
            <xdr:cNvPr id="11354" name="Spinner 90" hidden="1">
              <a:extLst>
                <a:ext uri="{63B3BB69-23CF-44E3-9099-C40C66FF867C}">
                  <a14:compatExt spid="_x0000_s11354"/>
                </a:ext>
                <a:ext uri="{FF2B5EF4-FFF2-40B4-BE49-F238E27FC236}">
                  <a16:creationId xmlns:a16="http://schemas.microsoft.com/office/drawing/2014/main" id="{00000000-0008-0000-0700-00005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35</xdr:row>
          <xdr:rowOff>57150</xdr:rowOff>
        </xdr:from>
        <xdr:to>
          <xdr:col>6</xdr:col>
          <xdr:colOff>476250</xdr:colOff>
          <xdr:row>35</xdr:row>
          <xdr:rowOff>800100</xdr:rowOff>
        </xdr:to>
        <xdr:sp macro="" textlink="">
          <xdr:nvSpPr>
            <xdr:cNvPr id="11355" name="Spinner 91" hidden="1">
              <a:extLst>
                <a:ext uri="{63B3BB69-23CF-44E3-9099-C40C66FF867C}">
                  <a14:compatExt spid="_x0000_s11355"/>
                </a:ext>
                <a:ext uri="{FF2B5EF4-FFF2-40B4-BE49-F238E27FC236}">
                  <a16:creationId xmlns:a16="http://schemas.microsoft.com/office/drawing/2014/main" id="{00000000-0008-0000-0700-00005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36</xdr:row>
          <xdr:rowOff>19050</xdr:rowOff>
        </xdr:from>
        <xdr:to>
          <xdr:col>6</xdr:col>
          <xdr:colOff>476250</xdr:colOff>
          <xdr:row>36</xdr:row>
          <xdr:rowOff>800100</xdr:rowOff>
        </xdr:to>
        <xdr:sp macro="" textlink="">
          <xdr:nvSpPr>
            <xdr:cNvPr id="11357" name="Spinner 93" hidden="1">
              <a:extLst>
                <a:ext uri="{63B3BB69-23CF-44E3-9099-C40C66FF867C}">
                  <a14:compatExt spid="_x0000_s11357"/>
                </a:ext>
                <a:ext uri="{FF2B5EF4-FFF2-40B4-BE49-F238E27FC236}">
                  <a16:creationId xmlns:a16="http://schemas.microsoft.com/office/drawing/2014/main" id="{00000000-0008-0000-0700-00005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37</xdr:row>
          <xdr:rowOff>19050</xdr:rowOff>
        </xdr:from>
        <xdr:to>
          <xdr:col>6</xdr:col>
          <xdr:colOff>476250</xdr:colOff>
          <xdr:row>37</xdr:row>
          <xdr:rowOff>800100</xdr:rowOff>
        </xdr:to>
        <xdr:sp macro="" textlink="">
          <xdr:nvSpPr>
            <xdr:cNvPr id="11358" name="Spinner 94" hidden="1">
              <a:extLst>
                <a:ext uri="{63B3BB69-23CF-44E3-9099-C40C66FF867C}">
                  <a14:compatExt spid="_x0000_s11358"/>
                </a:ext>
                <a:ext uri="{FF2B5EF4-FFF2-40B4-BE49-F238E27FC236}">
                  <a16:creationId xmlns:a16="http://schemas.microsoft.com/office/drawing/2014/main" id="{00000000-0008-0000-0700-00005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38</xdr:row>
          <xdr:rowOff>19050</xdr:rowOff>
        </xdr:from>
        <xdr:to>
          <xdr:col>6</xdr:col>
          <xdr:colOff>476250</xdr:colOff>
          <xdr:row>38</xdr:row>
          <xdr:rowOff>800100</xdr:rowOff>
        </xdr:to>
        <xdr:sp macro="" textlink="">
          <xdr:nvSpPr>
            <xdr:cNvPr id="11359" name="Spinner 95" hidden="1">
              <a:extLst>
                <a:ext uri="{63B3BB69-23CF-44E3-9099-C40C66FF867C}">
                  <a14:compatExt spid="_x0000_s11359"/>
                </a:ext>
                <a:ext uri="{FF2B5EF4-FFF2-40B4-BE49-F238E27FC236}">
                  <a16:creationId xmlns:a16="http://schemas.microsoft.com/office/drawing/2014/main" id="{00000000-0008-0000-0700-00005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31</xdr:row>
          <xdr:rowOff>19050</xdr:rowOff>
        </xdr:from>
        <xdr:to>
          <xdr:col>10</xdr:col>
          <xdr:colOff>476250</xdr:colOff>
          <xdr:row>31</xdr:row>
          <xdr:rowOff>800100</xdr:rowOff>
        </xdr:to>
        <xdr:sp macro="" textlink="">
          <xdr:nvSpPr>
            <xdr:cNvPr id="11360" name="Spinner 96" hidden="1">
              <a:extLst>
                <a:ext uri="{63B3BB69-23CF-44E3-9099-C40C66FF867C}">
                  <a14:compatExt spid="_x0000_s11360"/>
                </a:ext>
                <a:ext uri="{FF2B5EF4-FFF2-40B4-BE49-F238E27FC236}">
                  <a16:creationId xmlns:a16="http://schemas.microsoft.com/office/drawing/2014/main" id="{00000000-0008-0000-0700-00006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38100</xdr:colOff>
          <xdr:row>31</xdr:row>
          <xdr:rowOff>19050</xdr:rowOff>
        </xdr:from>
        <xdr:to>
          <xdr:col>14</xdr:col>
          <xdr:colOff>476250</xdr:colOff>
          <xdr:row>31</xdr:row>
          <xdr:rowOff>800100</xdr:rowOff>
        </xdr:to>
        <xdr:sp macro="" textlink="">
          <xdr:nvSpPr>
            <xdr:cNvPr id="11361" name="Spinner 97" hidden="1">
              <a:extLst>
                <a:ext uri="{63B3BB69-23CF-44E3-9099-C40C66FF867C}">
                  <a14:compatExt spid="_x0000_s11361"/>
                </a:ext>
                <a:ext uri="{FF2B5EF4-FFF2-40B4-BE49-F238E27FC236}">
                  <a16:creationId xmlns:a16="http://schemas.microsoft.com/office/drawing/2014/main" id="{00000000-0008-0000-0700-00006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32</xdr:row>
          <xdr:rowOff>38100</xdr:rowOff>
        </xdr:from>
        <xdr:to>
          <xdr:col>10</xdr:col>
          <xdr:colOff>476250</xdr:colOff>
          <xdr:row>32</xdr:row>
          <xdr:rowOff>800100</xdr:rowOff>
        </xdr:to>
        <xdr:sp macro="" textlink="">
          <xdr:nvSpPr>
            <xdr:cNvPr id="11362" name="Spinner 98" hidden="1">
              <a:extLst>
                <a:ext uri="{63B3BB69-23CF-44E3-9099-C40C66FF867C}">
                  <a14:compatExt spid="_x0000_s11362"/>
                </a:ext>
                <a:ext uri="{FF2B5EF4-FFF2-40B4-BE49-F238E27FC236}">
                  <a16:creationId xmlns:a16="http://schemas.microsoft.com/office/drawing/2014/main" id="{00000000-0008-0000-0700-00006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38100</xdr:colOff>
          <xdr:row>32</xdr:row>
          <xdr:rowOff>38100</xdr:rowOff>
        </xdr:from>
        <xdr:to>
          <xdr:col>14</xdr:col>
          <xdr:colOff>476250</xdr:colOff>
          <xdr:row>32</xdr:row>
          <xdr:rowOff>800100</xdr:rowOff>
        </xdr:to>
        <xdr:sp macro="" textlink="">
          <xdr:nvSpPr>
            <xdr:cNvPr id="11363" name="Spinner 99" hidden="1">
              <a:extLst>
                <a:ext uri="{63B3BB69-23CF-44E3-9099-C40C66FF867C}">
                  <a14:compatExt spid="_x0000_s11363"/>
                </a:ext>
                <a:ext uri="{FF2B5EF4-FFF2-40B4-BE49-F238E27FC236}">
                  <a16:creationId xmlns:a16="http://schemas.microsoft.com/office/drawing/2014/main" id="{00000000-0008-0000-0700-00006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33</xdr:row>
          <xdr:rowOff>38100</xdr:rowOff>
        </xdr:from>
        <xdr:to>
          <xdr:col>10</xdr:col>
          <xdr:colOff>476250</xdr:colOff>
          <xdr:row>33</xdr:row>
          <xdr:rowOff>800100</xdr:rowOff>
        </xdr:to>
        <xdr:sp macro="" textlink="">
          <xdr:nvSpPr>
            <xdr:cNvPr id="11364" name="Spinner 100" hidden="1">
              <a:extLst>
                <a:ext uri="{63B3BB69-23CF-44E3-9099-C40C66FF867C}">
                  <a14:compatExt spid="_x0000_s11364"/>
                </a:ext>
                <a:ext uri="{FF2B5EF4-FFF2-40B4-BE49-F238E27FC236}">
                  <a16:creationId xmlns:a16="http://schemas.microsoft.com/office/drawing/2014/main" id="{00000000-0008-0000-0700-00006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34</xdr:row>
          <xdr:rowOff>38100</xdr:rowOff>
        </xdr:from>
        <xdr:to>
          <xdr:col>10</xdr:col>
          <xdr:colOff>476250</xdr:colOff>
          <xdr:row>34</xdr:row>
          <xdr:rowOff>800100</xdr:rowOff>
        </xdr:to>
        <xdr:sp macro="" textlink="">
          <xdr:nvSpPr>
            <xdr:cNvPr id="11365" name="Spinner 101" hidden="1">
              <a:extLst>
                <a:ext uri="{63B3BB69-23CF-44E3-9099-C40C66FF867C}">
                  <a14:compatExt spid="_x0000_s11365"/>
                </a:ext>
                <a:ext uri="{FF2B5EF4-FFF2-40B4-BE49-F238E27FC236}">
                  <a16:creationId xmlns:a16="http://schemas.microsoft.com/office/drawing/2014/main" id="{00000000-0008-0000-0700-00006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35</xdr:row>
          <xdr:rowOff>57150</xdr:rowOff>
        </xdr:from>
        <xdr:to>
          <xdr:col>10</xdr:col>
          <xdr:colOff>476250</xdr:colOff>
          <xdr:row>35</xdr:row>
          <xdr:rowOff>800100</xdr:rowOff>
        </xdr:to>
        <xdr:sp macro="" textlink="">
          <xdr:nvSpPr>
            <xdr:cNvPr id="11366" name="Spinner 102" hidden="1">
              <a:extLst>
                <a:ext uri="{63B3BB69-23CF-44E3-9099-C40C66FF867C}">
                  <a14:compatExt spid="_x0000_s11366"/>
                </a:ext>
                <a:ext uri="{FF2B5EF4-FFF2-40B4-BE49-F238E27FC236}">
                  <a16:creationId xmlns:a16="http://schemas.microsoft.com/office/drawing/2014/main" id="{00000000-0008-0000-0700-00006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38100</xdr:colOff>
          <xdr:row>33</xdr:row>
          <xdr:rowOff>38100</xdr:rowOff>
        </xdr:from>
        <xdr:to>
          <xdr:col>14</xdr:col>
          <xdr:colOff>476250</xdr:colOff>
          <xdr:row>33</xdr:row>
          <xdr:rowOff>800100</xdr:rowOff>
        </xdr:to>
        <xdr:sp macro="" textlink="">
          <xdr:nvSpPr>
            <xdr:cNvPr id="11367" name="Spinner 103" hidden="1">
              <a:extLst>
                <a:ext uri="{63B3BB69-23CF-44E3-9099-C40C66FF867C}">
                  <a14:compatExt spid="_x0000_s11367"/>
                </a:ext>
                <a:ext uri="{FF2B5EF4-FFF2-40B4-BE49-F238E27FC236}">
                  <a16:creationId xmlns:a16="http://schemas.microsoft.com/office/drawing/2014/main" id="{00000000-0008-0000-0700-00006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38100</xdr:colOff>
          <xdr:row>34</xdr:row>
          <xdr:rowOff>38100</xdr:rowOff>
        </xdr:from>
        <xdr:to>
          <xdr:col>14</xdr:col>
          <xdr:colOff>476250</xdr:colOff>
          <xdr:row>34</xdr:row>
          <xdr:rowOff>800100</xdr:rowOff>
        </xdr:to>
        <xdr:sp macro="" textlink="">
          <xdr:nvSpPr>
            <xdr:cNvPr id="11368" name="Spinner 104" hidden="1">
              <a:extLst>
                <a:ext uri="{63B3BB69-23CF-44E3-9099-C40C66FF867C}">
                  <a14:compatExt spid="_x0000_s11368"/>
                </a:ext>
                <a:ext uri="{FF2B5EF4-FFF2-40B4-BE49-F238E27FC236}">
                  <a16:creationId xmlns:a16="http://schemas.microsoft.com/office/drawing/2014/main" id="{00000000-0008-0000-0700-00006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38100</xdr:colOff>
          <xdr:row>35</xdr:row>
          <xdr:rowOff>57150</xdr:rowOff>
        </xdr:from>
        <xdr:to>
          <xdr:col>14</xdr:col>
          <xdr:colOff>476250</xdr:colOff>
          <xdr:row>35</xdr:row>
          <xdr:rowOff>800100</xdr:rowOff>
        </xdr:to>
        <xdr:sp macro="" textlink="">
          <xdr:nvSpPr>
            <xdr:cNvPr id="11369" name="Spinner 105" hidden="1">
              <a:extLst>
                <a:ext uri="{63B3BB69-23CF-44E3-9099-C40C66FF867C}">
                  <a14:compatExt spid="_x0000_s11369"/>
                </a:ext>
                <a:ext uri="{FF2B5EF4-FFF2-40B4-BE49-F238E27FC236}">
                  <a16:creationId xmlns:a16="http://schemas.microsoft.com/office/drawing/2014/main" id="{00000000-0008-0000-0700-00006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36</xdr:row>
          <xdr:rowOff>19050</xdr:rowOff>
        </xdr:from>
        <xdr:to>
          <xdr:col>10</xdr:col>
          <xdr:colOff>476250</xdr:colOff>
          <xdr:row>36</xdr:row>
          <xdr:rowOff>800100</xdr:rowOff>
        </xdr:to>
        <xdr:sp macro="" textlink="">
          <xdr:nvSpPr>
            <xdr:cNvPr id="11370" name="Spinner 106" hidden="1">
              <a:extLst>
                <a:ext uri="{63B3BB69-23CF-44E3-9099-C40C66FF867C}">
                  <a14:compatExt spid="_x0000_s11370"/>
                </a:ext>
                <a:ext uri="{FF2B5EF4-FFF2-40B4-BE49-F238E27FC236}">
                  <a16:creationId xmlns:a16="http://schemas.microsoft.com/office/drawing/2014/main" id="{00000000-0008-0000-0700-00006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37</xdr:row>
          <xdr:rowOff>19050</xdr:rowOff>
        </xdr:from>
        <xdr:to>
          <xdr:col>10</xdr:col>
          <xdr:colOff>476250</xdr:colOff>
          <xdr:row>37</xdr:row>
          <xdr:rowOff>800100</xdr:rowOff>
        </xdr:to>
        <xdr:sp macro="" textlink="">
          <xdr:nvSpPr>
            <xdr:cNvPr id="11371" name="Spinner 107" hidden="1">
              <a:extLst>
                <a:ext uri="{63B3BB69-23CF-44E3-9099-C40C66FF867C}">
                  <a14:compatExt spid="_x0000_s11371"/>
                </a:ext>
                <a:ext uri="{FF2B5EF4-FFF2-40B4-BE49-F238E27FC236}">
                  <a16:creationId xmlns:a16="http://schemas.microsoft.com/office/drawing/2014/main" id="{00000000-0008-0000-0700-00006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38</xdr:row>
          <xdr:rowOff>19050</xdr:rowOff>
        </xdr:from>
        <xdr:to>
          <xdr:col>10</xdr:col>
          <xdr:colOff>476250</xdr:colOff>
          <xdr:row>38</xdr:row>
          <xdr:rowOff>800100</xdr:rowOff>
        </xdr:to>
        <xdr:sp macro="" textlink="">
          <xdr:nvSpPr>
            <xdr:cNvPr id="11372" name="Spinner 108" hidden="1">
              <a:extLst>
                <a:ext uri="{63B3BB69-23CF-44E3-9099-C40C66FF867C}">
                  <a14:compatExt spid="_x0000_s11372"/>
                </a:ext>
                <a:ext uri="{FF2B5EF4-FFF2-40B4-BE49-F238E27FC236}">
                  <a16:creationId xmlns:a16="http://schemas.microsoft.com/office/drawing/2014/main" id="{00000000-0008-0000-0700-00006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38100</xdr:colOff>
          <xdr:row>36</xdr:row>
          <xdr:rowOff>19050</xdr:rowOff>
        </xdr:from>
        <xdr:to>
          <xdr:col>14</xdr:col>
          <xdr:colOff>476250</xdr:colOff>
          <xdr:row>36</xdr:row>
          <xdr:rowOff>800100</xdr:rowOff>
        </xdr:to>
        <xdr:sp macro="" textlink="">
          <xdr:nvSpPr>
            <xdr:cNvPr id="11373" name="Spinner 109" hidden="1">
              <a:extLst>
                <a:ext uri="{63B3BB69-23CF-44E3-9099-C40C66FF867C}">
                  <a14:compatExt spid="_x0000_s11373"/>
                </a:ext>
                <a:ext uri="{FF2B5EF4-FFF2-40B4-BE49-F238E27FC236}">
                  <a16:creationId xmlns:a16="http://schemas.microsoft.com/office/drawing/2014/main" id="{00000000-0008-0000-0700-00006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38100</xdr:colOff>
          <xdr:row>37</xdr:row>
          <xdr:rowOff>19050</xdr:rowOff>
        </xdr:from>
        <xdr:to>
          <xdr:col>14</xdr:col>
          <xdr:colOff>476250</xdr:colOff>
          <xdr:row>37</xdr:row>
          <xdr:rowOff>800100</xdr:rowOff>
        </xdr:to>
        <xdr:sp macro="" textlink="">
          <xdr:nvSpPr>
            <xdr:cNvPr id="11374" name="Spinner 110" hidden="1">
              <a:extLst>
                <a:ext uri="{63B3BB69-23CF-44E3-9099-C40C66FF867C}">
                  <a14:compatExt spid="_x0000_s11374"/>
                </a:ext>
                <a:ext uri="{FF2B5EF4-FFF2-40B4-BE49-F238E27FC236}">
                  <a16:creationId xmlns:a16="http://schemas.microsoft.com/office/drawing/2014/main" id="{00000000-0008-0000-0700-00006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38100</xdr:colOff>
          <xdr:row>38</xdr:row>
          <xdr:rowOff>19050</xdr:rowOff>
        </xdr:from>
        <xdr:to>
          <xdr:col>14</xdr:col>
          <xdr:colOff>476250</xdr:colOff>
          <xdr:row>38</xdr:row>
          <xdr:rowOff>800100</xdr:rowOff>
        </xdr:to>
        <xdr:sp macro="" textlink="">
          <xdr:nvSpPr>
            <xdr:cNvPr id="11375" name="Spinner 111" hidden="1">
              <a:extLst>
                <a:ext uri="{63B3BB69-23CF-44E3-9099-C40C66FF867C}">
                  <a14:compatExt spid="_x0000_s11375"/>
                </a:ext>
                <a:ext uri="{FF2B5EF4-FFF2-40B4-BE49-F238E27FC236}">
                  <a16:creationId xmlns:a16="http://schemas.microsoft.com/office/drawing/2014/main" id="{00000000-0008-0000-0700-00006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68</xdr:row>
          <xdr:rowOff>19050</xdr:rowOff>
        </xdr:from>
        <xdr:to>
          <xdr:col>6</xdr:col>
          <xdr:colOff>438150</xdr:colOff>
          <xdr:row>68</xdr:row>
          <xdr:rowOff>781050</xdr:rowOff>
        </xdr:to>
        <xdr:sp macro="" textlink="">
          <xdr:nvSpPr>
            <xdr:cNvPr id="11376" name="Spinner 112" hidden="1">
              <a:extLst>
                <a:ext uri="{63B3BB69-23CF-44E3-9099-C40C66FF867C}">
                  <a14:compatExt spid="_x0000_s11376"/>
                </a:ext>
                <a:ext uri="{FF2B5EF4-FFF2-40B4-BE49-F238E27FC236}">
                  <a16:creationId xmlns:a16="http://schemas.microsoft.com/office/drawing/2014/main" id="{00000000-0008-0000-0700-00007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67</xdr:row>
          <xdr:rowOff>19050</xdr:rowOff>
        </xdr:from>
        <xdr:to>
          <xdr:col>6</xdr:col>
          <xdr:colOff>419100</xdr:colOff>
          <xdr:row>67</xdr:row>
          <xdr:rowOff>762000</xdr:rowOff>
        </xdr:to>
        <xdr:sp macro="" textlink="">
          <xdr:nvSpPr>
            <xdr:cNvPr id="11377" name="Spinner 113" hidden="1">
              <a:extLst>
                <a:ext uri="{63B3BB69-23CF-44E3-9099-C40C66FF867C}">
                  <a14:compatExt spid="_x0000_s11377"/>
                </a:ext>
                <a:ext uri="{FF2B5EF4-FFF2-40B4-BE49-F238E27FC236}">
                  <a16:creationId xmlns:a16="http://schemas.microsoft.com/office/drawing/2014/main" id="{00000000-0008-0000-0700-00007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66</xdr:row>
          <xdr:rowOff>19050</xdr:rowOff>
        </xdr:from>
        <xdr:to>
          <xdr:col>6</xdr:col>
          <xdr:colOff>438150</xdr:colOff>
          <xdr:row>66</xdr:row>
          <xdr:rowOff>762000</xdr:rowOff>
        </xdr:to>
        <xdr:sp macro="" textlink="">
          <xdr:nvSpPr>
            <xdr:cNvPr id="11378" name="Spinner 114" hidden="1">
              <a:extLst>
                <a:ext uri="{63B3BB69-23CF-44E3-9099-C40C66FF867C}">
                  <a14:compatExt spid="_x0000_s11378"/>
                </a:ext>
                <a:ext uri="{FF2B5EF4-FFF2-40B4-BE49-F238E27FC236}">
                  <a16:creationId xmlns:a16="http://schemas.microsoft.com/office/drawing/2014/main" id="{00000000-0008-0000-0700-00007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65</xdr:row>
          <xdr:rowOff>19050</xdr:rowOff>
        </xdr:from>
        <xdr:to>
          <xdr:col>6</xdr:col>
          <xdr:colOff>438150</xdr:colOff>
          <xdr:row>65</xdr:row>
          <xdr:rowOff>762000</xdr:rowOff>
        </xdr:to>
        <xdr:sp macro="" textlink="">
          <xdr:nvSpPr>
            <xdr:cNvPr id="11380" name="Spinner 116" hidden="1">
              <a:extLst>
                <a:ext uri="{63B3BB69-23CF-44E3-9099-C40C66FF867C}">
                  <a14:compatExt spid="_x0000_s11380"/>
                </a:ext>
                <a:ext uri="{FF2B5EF4-FFF2-40B4-BE49-F238E27FC236}">
                  <a16:creationId xmlns:a16="http://schemas.microsoft.com/office/drawing/2014/main" id="{00000000-0008-0000-0700-00007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64</xdr:row>
          <xdr:rowOff>19050</xdr:rowOff>
        </xdr:from>
        <xdr:to>
          <xdr:col>6</xdr:col>
          <xdr:colOff>438150</xdr:colOff>
          <xdr:row>64</xdr:row>
          <xdr:rowOff>762000</xdr:rowOff>
        </xdr:to>
        <xdr:sp macro="" textlink="">
          <xdr:nvSpPr>
            <xdr:cNvPr id="11381" name="Spinner 117" hidden="1">
              <a:extLst>
                <a:ext uri="{63B3BB69-23CF-44E3-9099-C40C66FF867C}">
                  <a14:compatExt spid="_x0000_s11381"/>
                </a:ext>
                <a:ext uri="{FF2B5EF4-FFF2-40B4-BE49-F238E27FC236}">
                  <a16:creationId xmlns:a16="http://schemas.microsoft.com/office/drawing/2014/main" id="{00000000-0008-0000-0700-00007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63</xdr:row>
          <xdr:rowOff>19050</xdr:rowOff>
        </xdr:from>
        <xdr:to>
          <xdr:col>6</xdr:col>
          <xdr:colOff>419100</xdr:colOff>
          <xdr:row>63</xdr:row>
          <xdr:rowOff>781050</xdr:rowOff>
        </xdr:to>
        <xdr:sp macro="" textlink="">
          <xdr:nvSpPr>
            <xdr:cNvPr id="11382" name="Spinner 118" hidden="1">
              <a:extLst>
                <a:ext uri="{63B3BB69-23CF-44E3-9099-C40C66FF867C}">
                  <a14:compatExt spid="_x0000_s11382"/>
                </a:ext>
                <a:ext uri="{FF2B5EF4-FFF2-40B4-BE49-F238E27FC236}">
                  <a16:creationId xmlns:a16="http://schemas.microsoft.com/office/drawing/2014/main" id="{00000000-0008-0000-0700-00007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62</xdr:row>
          <xdr:rowOff>19050</xdr:rowOff>
        </xdr:from>
        <xdr:to>
          <xdr:col>6</xdr:col>
          <xdr:colOff>438150</xdr:colOff>
          <xdr:row>62</xdr:row>
          <xdr:rowOff>742950</xdr:rowOff>
        </xdr:to>
        <xdr:sp macro="" textlink="">
          <xdr:nvSpPr>
            <xdr:cNvPr id="11383" name="Spinner 119" hidden="1">
              <a:extLst>
                <a:ext uri="{63B3BB69-23CF-44E3-9099-C40C66FF867C}">
                  <a14:compatExt spid="_x0000_s11383"/>
                </a:ext>
                <a:ext uri="{FF2B5EF4-FFF2-40B4-BE49-F238E27FC236}">
                  <a16:creationId xmlns:a16="http://schemas.microsoft.com/office/drawing/2014/main" id="{00000000-0008-0000-0700-00007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61</xdr:row>
          <xdr:rowOff>19050</xdr:rowOff>
        </xdr:from>
        <xdr:to>
          <xdr:col>6</xdr:col>
          <xdr:colOff>438150</xdr:colOff>
          <xdr:row>61</xdr:row>
          <xdr:rowOff>742950</xdr:rowOff>
        </xdr:to>
        <xdr:sp macro="" textlink="">
          <xdr:nvSpPr>
            <xdr:cNvPr id="11384" name="Spinner 120" hidden="1">
              <a:extLst>
                <a:ext uri="{63B3BB69-23CF-44E3-9099-C40C66FF867C}">
                  <a14:compatExt spid="_x0000_s11384"/>
                </a:ext>
                <a:ext uri="{FF2B5EF4-FFF2-40B4-BE49-F238E27FC236}">
                  <a16:creationId xmlns:a16="http://schemas.microsoft.com/office/drawing/2014/main" id="{00000000-0008-0000-0700-00007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68</xdr:row>
          <xdr:rowOff>19050</xdr:rowOff>
        </xdr:from>
        <xdr:to>
          <xdr:col>10</xdr:col>
          <xdr:colOff>438150</xdr:colOff>
          <xdr:row>68</xdr:row>
          <xdr:rowOff>762000</xdr:rowOff>
        </xdr:to>
        <xdr:sp macro="" textlink="">
          <xdr:nvSpPr>
            <xdr:cNvPr id="11385" name="Spinner 121" hidden="1">
              <a:extLst>
                <a:ext uri="{63B3BB69-23CF-44E3-9099-C40C66FF867C}">
                  <a14:compatExt spid="_x0000_s11385"/>
                </a:ext>
                <a:ext uri="{FF2B5EF4-FFF2-40B4-BE49-F238E27FC236}">
                  <a16:creationId xmlns:a16="http://schemas.microsoft.com/office/drawing/2014/main" id="{00000000-0008-0000-0700-00007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57150</xdr:colOff>
          <xdr:row>67</xdr:row>
          <xdr:rowOff>19050</xdr:rowOff>
        </xdr:from>
        <xdr:to>
          <xdr:col>10</xdr:col>
          <xdr:colOff>438150</xdr:colOff>
          <xdr:row>67</xdr:row>
          <xdr:rowOff>762000</xdr:rowOff>
        </xdr:to>
        <xdr:sp macro="" textlink="">
          <xdr:nvSpPr>
            <xdr:cNvPr id="11386" name="Spinner 122" hidden="1">
              <a:extLst>
                <a:ext uri="{63B3BB69-23CF-44E3-9099-C40C66FF867C}">
                  <a14:compatExt spid="_x0000_s11386"/>
                </a:ext>
                <a:ext uri="{FF2B5EF4-FFF2-40B4-BE49-F238E27FC236}">
                  <a16:creationId xmlns:a16="http://schemas.microsoft.com/office/drawing/2014/main" id="{00000000-0008-0000-0700-00007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57150</xdr:colOff>
          <xdr:row>66</xdr:row>
          <xdr:rowOff>19050</xdr:rowOff>
        </xdr:from>
        <xdr:to>
          <xdr:col>10</xdr:col>
          <xdr:colOff>438150</xdr:colOff>
          <xdr:row>66</xdr:row>
          <xdr:rowOff>762000</xdr:rowOff>
        </xdr:to>
        <xdr:sp macro="" textlink="">
          <xdr:nvSpPr>
            <xdr:cNvPr id="11387" name="Spinner 123" hidden="1">
              <a:extLst>
                <a:ext uri="{63B3BB69-23CF-44E3-9099-C40C66FF867C}">
                  <a14:compatExt spid="_x0000_s11387"/>
                </a:ext>
                <a:ext uri="{FF2B5EF4-FFF2-40B4-BE49-F238E27FC236}">
                  <a16:creationId xmlns:a16="http://schemas.microsoft.com/office/drawing/2014/main" id="{00000000-0008-0000-0700-00007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57150</xdr:colOff>
          <xdr:row>65</xdr:row>
          <xdr:rowOff>19050</xdr:rowOff>
        </xdr:from>
        <xdr:to>
          <xdr:col>10</xdr:col>
          <xdr:colOff>438150</xdr:colOff>
          <xdr:row>65</xdr:row>
          <xdr:rowOff>762000</xdr:rowOff>
        </xdr:to>
        <xdr:sp macro="" textlink="">
          <xdr:nvSpPr>
            <xdr:cNvPr id="11388" name="Spinner 124" hidden="1">
              <a:extLst>
                <a:ext uri="{63B3BB69-23CF-44E3-9099-C40C66FF867C}">
                  <a14:compatExt spid="_x0000_s11388"/>
                </a:ext>
                <a:ext uri="{FF2B5EF4-FFF2-40B4-BE49-F238E27FC236}">
                  <a16:creationId xmlns:a16="http://schemas.microsoft.com/office/drawing/2014/main" id="{00000000-0008-0000-0700-00007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57150</xdr:colOff>
          <xdr:row>64</xdr:row>
          <xdr:rowOff>19050</xdr:rowOff>
        </xdr:from>
        <xdr:to>
          <xdr:col>10</xdr:col>
          <xdr:colOff>438150</xdr:colOff>
          <xdr:row>64</xdr:row>
          <xdr:rowOff>762000</xdr:rowOff>
        </xdr:to>
        <xdr:sp macro="" textlink="">
          <xdr:nvSpPr>
            <xdr:cNvPr id="11389" name="Spinner 125" hidden="1">
              <a:extLst>
                <a:ext uri="{63B3BB69-23CF-44E3-9099-C40C66FF867C}">
                  <a14:compatExt spid="_x0000_s11389"/>
                </a:ext>
                <a:ext uri="{FF2B5EF4-FFF2-40B4-BE49-F238E27FC236}">
                  <a16:creationId xmlns:a16="http://schemas.microsoft.com/office/drawing/2014/main" id="{00000000-0008-0000-0700-00007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57150</xdr:colOff>
          <xdr:row>63</xdr:row>
          <xdr:rowOff>19050</xdr:rowOff>
        </xdr:from>
        <xdr:to>
          <xdr:col>10</xdr:col>
          <xdr:colOff>438150</xdr:colOff>
          <xdr:row>63</xdr:row>
          <xdr:rowOff>781050</xdr:rowOff>
        </xdr:to>
        <xdr:sp macro="" textlink="">
          <xdr:nvSpPr>
            <xdr:cNvPr id="11390" name="Spinner 126" hidden="1">
              <a:extLst>
                <a:ext uri="{63B3BB69-23CF-44E3-9099-C40C66FF867C}">
                  <a14:compatExt spid="_x0000_s11390"/>
                </a:ext>
                <a:ext uri="{FF2B5EF4-FFF2-40B4-BE49-F238E27FC236}">
                  <a16:creationId xmlns:a16="http://schemas.microsoft.com/office/drawing/2014/main" id="{00000000-0008-0000-0700-00007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57150</xdr:colOff>
          <xdr:row>62</xdr:row>
          <xdr:rowOff>19050</xdr:rowOff>
        </xdr:from>
        <xdr:to>
          <xdr:col>10</xdr:col>
          <xdr:colOff>438150</xdr:colOff>
          <xdr:row>62</xdr:row>
          <xdr:rowOff>742950</xdr:rowOff>
        </xdr:to>
        <xdr:sp macro="" textlink="">
          <xdr:nvSpPr>
            <xdr:cNvPr id="11391" name="Spinner 127" hidden="1">
              <a:extLst>
                <a:ext uri="{63B3BB69-23CF-44E3-9099-C40C66FF867C}">
                  <a14:compatExt spid="_x0000_s11391"/>
                </a:ext>
                <a:ext uri="{FF2B5EF4-FFF2-40B4-BE49-F238E27FC236}">
                  <a16:creationId xmlns:a16="http://schemas.microsoft.com/office/drawing/2014/main" id="{00000000-0008-0000-0700-00007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57150</xdr:colOff>
          <xdr:row>61</xdr:row>
          <xdr:rowOff>19050</xdr:rowOff>
        </xdr:from>
        <xdr:to>
          <xdr:col>10</xdr:col>
          <xdr:colOff>457200</xdr:colOff>
          <xdr:row>61</xdr:row>
          <xdr:rowOff>742950</xdr:rowOff>
        </xdr:to>
        <xdr:sp macro="" textlink="">
          <xdr:nvSpPr>
            <xdr:cNvPr id="11392" name="Spinner 128" hidden="1">
              <a:extLst>
                <a:ext uri="{63B3BB69-23CF-44E3-9099-C40C66FF867C}">
                  <a14:compatExt spid="_x0000_s11392"/>
                </a:ext>
                <a:ext uri="{FF2B5EF4-FFF2-40B4-BE49-F238E27FC236}">
                  <a16:creationId xmlns:a16="http://schemas.microsoft.com/office/drawing/2014/main" id="{00000000-0008-0000-0700-00008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38100</xdr:colOff>
          <xdr:row>68</xdr:row>
          <xdr:rowOff>19050</xdr:rowOff>
        </xdr:from>
        <xdr:to>
          <xdr:col>14</xdr:col>
          <xdr:colOff>438150</xdr:colOff>
          <xdr:row>68</xdr:row>
          <xdr:rowOff>762000</xdr:rowOff>
        </xdr:to>
        <xdr:sp macro="" textlink="">
          <xdr:nvSpPr>
            <xdr:cNvPr id="11393" name="Spinner 129" hidden="1">
              <a:extLst>
                <a:ext uri="{63B3BB69-23CF-44E3-9099-C40C66FF867C}">
                  <a14:compatExt spid="_x0000_s11393"/>
                </a:ext>
                <a:ext uri="{FF2B5EF4-FFF2-40B4-BE49-F238E27FC236}">
                  <a16:creationId xmlns:a16="http://schemas.microsoft.com/office/drawing/2014/main" id="{00000000-0008-0000-0700-00008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57150</xdr:colOff>
          <xdr:row>67</xdr:row>
          <xdr:rowOff>19050</xdr:rowOff>
        </xdr:from>
        <xdr:to>
          <xdr:col>14</xdr:col>
          <xdr:colOff>438150</xdr:colOff>
          <xdr:row>67</xdr:row>
          <xdr:rowOff>762000</xdr:rowOff>
        </xdr:to>
        <xdr:sp macro="" textlink="">
          <xdr:nvSpPr>
            <xdr:cNvPr id="11394" name="Spinner 130" hidden="1">
              <a:extLst>
                <a:ext uri="{63B3BB69-23CF-44E3-9099-C40C66FF867C}">
                  <a14:compatExt spid="_x0000_s11394"/>
                </a:ext>
                <a:ext uri="{FF2B5EF4-FFF2-40B4-BE49-F238E27FC236}">
                  <a16:creationId xmlns:a16="http://schemas.microsoft.com/office/drawing/2014/main" id="{00000000-0008-0000-0700-00008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57150</xdr:colOff>
          <xdr:row>66</xdr:row>
          <xdr:rowOff>19050</xdr:rowOff>
        </xdr:from>
        <xdr:to>
          <xdr:col>14</xdr:col>
          <xdr:colOff>438150</xdr:colOff>
          <xdr:row>66</xdr:row>
          <xdr:rowOff>762000</xdr:rowOff>
        </xdr:to>
        <xdr:sp macro="" textlink="">
          <xdr:nvSpPr>
            <xdr:cNvPr id="11395" name="Spinner 131" hidden="1">
              <a:extLst>
                <a:ext uri="{63B3BB69-23CF-44E3-9099-C40C66FF867C}">
                  <a14:compatExt spid="_x0000_s11395"/>
                </a:ext>
                <a:ext uri="{FF2B5EF4-FFF2-40B4-BE49-F238E27FC236}">
                  <a16:creationId xmlns:a16="http://schemas.microsoft.com/office/drawing/2014/main" id="{00000000-0008-0000-0700-00008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57150</xdr:colOff>
          <xdr:row>65</xdr:row>
          <xdr:rowOff>19050</xdr:rowOff>
        </xdr:from>
        <xdr:to>
          <xdr:col>14</xdr:col>
          <xdr:colOff>438150</xdr:colOff>
          <xdr:row>65</xdr:row>
          <xdr:rowOff>762000</xdr:rowOff>
        </xdr:to>
        <xdr:sp macro="" textlink="">
          <xdr:nvSpPr>
            <xdr:cNvPr id="11396" name="Spinner 132" hidden="1">
              <a:extLst>
                <a:ext uri="{63B3BB69-23CF-44E3-9099-C40C66FF867C}">
                  <a14:compatExt spid="_x0000_s11396"/>
                </a:ext>
                <a:ext uri="{FF2B5EF4-FFF2-40B4-BE49-F238E27FC236}">
                  <a16:creationId xmlns:a16="http://schemas.microsoft.com/office/drawing/2014/main" id="{00000000-0008-0000-0700-00008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57150</xdr:colOff>
          <xdr:row>64</xdr:row>
          <xdr:rowOff>19050</xdr:rowOff>
        </xdr:from>
        <xdr:to>
          <xdr:col>14</xdr:col>
          <xdr:colOff>438150</xdr:colOff>
          <xdr:row>64</xdr:row>
          <xdr:rowOff>762000</xdr:rowOff>
        </xdr:to>
        <xdr:sp macro="" textlink="">
          <xdr:nvSpPr>
            <xdr:cNvPr id="11397" name="Spinner 133" hidden="1">
              <a:extLst>
                <a:ext uri="{63B3BB69-23CF-44E3-9099-C40C66FF867C}">
                  <a14:compatExt spid="_x0000_s11397"/>
                </a:ext>
                <a:ext uri="{FF2B5EF4-FFF2-40B4-BE49-F238E27FC236}">
                  <a16:creationId xmlns:a16="http://schemas.microsoft.com/office/drawing/2014/main" id="{00000000-0008-0000-0700-00008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57150</xdr:colOff>
          <xdr:row>63</xdr:row>
          <xdr:rowOff>19050</xdr:rowOff>
        </xdr:from>
        <xdr:to>
          <xdr:col>14</xdr:col>
          <xdr:colOff>438150</xdr:colOff>
          <xdr:row>63</xdr:row>
          <xdr:rowOff>781050</xdr:rowOff>
        </xdr:to>
        <xdr:sp macro="" textlink="">
          <xdr:nvSpPr>
            <xdr:cNvPr id="11398" name="Spinner 134" hidden="1">
              <a:extLst>
                <a:ext uri="{63B3BB69-23CF-44E3-9099-C40C66FF867C}">
                  <a14:compatExt spid="_x0000_s11398"/>
                </a:ext>
                <a:ext uri="{FF2B5EF4-FFF2-40B4-BE49-F238E27FC236}">
                  <a16:creationId xmlns:a16="http://schemas.microsoft.com/office/drawing/2014/main" id="{00000000-0008-0000-0700-00008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57150</xdr:colOff>
          <xdr:row>62</xdr:row>
          <xdr:rowOff>19050</xdr:rowOff>
        </xdr:from>
        <xdr:to>
          <xdr:col>14</xdr:col>
          <xdr:colOff>438150</xdr:colOff>
          <xdr:row>62</xdr:row>
          <xdr:rowOff>742950</xdr:rowOff>
        </xdr:to>
        <xdr:sp macro="" textlink="">
          <xdr:nvSpPr>
            <xdr:cNvPr id="11399" name="Spinner 135" hidden="1">
              <a:extLst>
                <a:ext uri="{63B3BB69-23CF-44E3-9099-C40C66FF867C}">
                  <a14:compatExt spid="_x0000_s11399"/>
                </a:ext>
                <a:ext uri="{FF2B5EF4-FFF2-40B4-BE49-F238E27FC236}">
                  <a16:creationId xmlns:a16="http://schemas.microsoft.com/office/drawing/2014/main" id="{00000000-0008-0000-0700-00008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57150</xdr:colOff>
          <xdr:row>61</xdr:row>
          <xdr:rowOff>19050</xdr:rowOff>
        </xdr:from>
        <xdr:to>
          <xdr:col>14</xdr:col>
          <xdr:colOff>457200</xdr:colOff>
          <xdr:row>61</xdr:row>
          <xdr:rowOff>742950</xdr:rowOff>
        </xdr:to>
        <xdr:sp macro="" textlink="">
          <xdr:nvSpPr>
            <xdr:cNvPr id="11400" name="Spinner 136" hidden="1">
              <a:extLst>
                <a:ext uri="{63B3BB69-23CF-44E3-9099-C40C66FF867C}">
                  <a14:compatExt spid="_x0000_s11400"/>
                </a:ext>
                <a:ext uri="{FF2B5EF4-FFF2-40B4-BE49-F238E27FC236}">
                  <a16:creationId xmlns:a16="http://schemas.microsoft.com/office/drawing/2014/main" id="{00000000-0008-0000-0700-00008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91</xdr:row>
          <xdr:rowOff>19050</xdr:rowOff>
        </xdr:from>
        <xdr:to>
          <xdr:col>6</xdr:col>
          <xdr:colOff>438150</xdr:colOff>
          <xdr:row>91</xdr:row>
          <xdr:rowOff>657225</xdr:rowOff>
        </xdr:to>
        <xdr:sp macro="" textlink="">
          <xdr:nvSpPr>
            <xdr:cNvPr id="11401" name="Spinner 137" hidden="1">
              <a:extLst>
                <a:ext uri="{63B3BB69-23CF-44E3-9099-C40C66FF867C}">
                  <a14:compatExt spid="_x0000_s11401"/>
                </a:ext>
                <a:ext uri="{FF2B5EF4-FFF2-40B4-BE49-F238E27FC236}">
                  <a16:creationId xmlns:a16="http://schemas.microsoft.com/office/drawing/2014/main" id="{00000000-0008-0000-0700-00008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</xdr:colOff>
          <xdr:row>92</xdr:row>
          <xdr:rowOff>28575</xdr:rowOff>
        </xdr:from>
        <xdr:to>
          <xdr:col>6</xdr:col>
          <xdr:colOff>447675</xdr:colOff>
          <xdr:row>92</xdr:row>
          <xdr:rowOff>666750</xdr:rowOff>
        </xdr:to>
        <xdr:sp macro="" textlink="">
          <xdr:nvSpPr>
            <xdr:cNvPr id="11402" name="Spinner 138" hidden="1">
              <a:extLst>
                <a:ext uri="{63B3BB69-23CF-44E3-9099-C40C66FF867C}">
                  <a14:compatExt spid="_x0000_s11402"/>
                </a:ext>
                <a:ext uri="{FF2B5EF4-FFF2-40B4-BE49-F238E27FC236}">
                  <a16:creationId xmlns:a16="http://schemas.microsoft.com/office/drawing/2014/main" id="{00000000-0008-0000-0700-00008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93</xdr:row>
          <xdr:rowOff>57150</xdr:rowOff>
        </xdr:from>
        <xdr:to>
          <xdr:col>6</xdr:col>
          <xdr:colOff>457200</xdr:colOff>
          <xdr:row>93</xdr:row>
          <xdr:rowOff>762000</xdr:rowOff>
        </xdr:to>
        <xdr:sp macro="" textlink="">
          <xdr:nvSpPr>
            <xdr:cNvPr id="11403" name="Spinner 139" hidden="1">
              <a:extLst>
                <a:ext uri="{63B3BB69-23CF-44E3-9099-C40C66FF867C}">
                  <a14:compatExt spid="_x0000_s11403"/>
                </a:ext>
                <a:ext uri="{FF2B5EF4-FFF2-40B4-BE49-F238E27FC236}">
                  <a16:creationId xmlns:a16="http://schemas.microsoft.com/office/drawing/2014/main" id="{00000000-0008-0000-0700-00008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94</xdr:row>
          <xdr:rowOff>57150</xdr:rowOff>
        </xdr:from>
        <xdr:to>
          <xdr:col>6</xdr:col>
          <xdr:colOff>457200</xdr:colOff>
          <xdr:row>94</xdr:row>
          <xdr:rowOff>762000</xdr:rowOff>
        </xdr:to>
        <xdr:sp macro="" textlink="">
          <xdr:nvSpPr>
            <xdr:cNvPr id="11404" name="Spinner 140" hidden="1">
              <a:extLst>
                <a:ext uri="{63B3BB69-23CF-44E3-9099-C40C66FF867C}">
                  <a14:compatExt spid="_x0000_s11404"/>
                </a:ext>
                <a:ext uri="{FF2B5EF4-FFF2-40B4-BE49-F238E27FC236}">
                  <a16:creationId xmlns:a16="http://schemas.microsoft.com/office/drawing/2014/main" id="{00000000-0008-0000-0700-00008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95</xdr:row>
          <xdr:rowOff>57150</xdr:rowOff>
        </xdr:from>
        <xdr:to>
          <xdr:col>6</xdr:col>
          <xdr:colOff>457200</xdr:colOff>
          <xdr:row>95</xdr:row>
          <xdr:rowOff>781050</xdr:rowOff>
        </xdr:to>
        <xdr:sp macro="" textlink="">
          <xdr:nvSpPr>
            <xdr:cNvPr id="11406" name="Spinner 142" hidden="1">
              <a:extLst>
                <a:ext uri="{63B3BB69-23CF-44E3-9099-C40C66FF867C}">
                  <a14:compatExt spid="_x0000_s11406"/>
                </a:ext>
                <a:ext uri="{FF2B5EF4-FFF2-40B4-BE49-F238E27FC236}">
                  <a16:creationId xmlns:a16="http://schemas.microsoft.com/office/drawing/2014/main" id="{00000000-0008-0000-0700-00008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96</xdr:row>
          <xdr:rowOff>57150</xdr:rowOff>
        </xdr:from>
        <xdr:to>
          <xdr:col>6</xdr:col>
          <xdr:colOff>457200</xdr:colOff>
          <xdr:row>96</xdr:row>
          <xdr:rowOff>781050</xdr:rowOff>
        </xdr:to>
        <xdr:sp macro="" textlink="">
          <xdr:nvSpPr>
            <xdr:cNvPr id="11407" name="Spinner 143" hidden="1">
              <a:extLst>
                <a:ext uri="{63B3BB69-23CF-44E3-9099-C40C66FF867C}">
                  <a14:compatExt spid="_x0000_s11407"/>
                </a:ext>
                <a:ext uri="{FF2B5EF4-FFF2-40B4-BE49-F238E27FC236}">
                  <a16:creationId xmlns:a16="http://schemas.microsoft.com/office/drawing/2014/main" id="{00000000-0008-0000-0700-00008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97</xdr:row>
          <xdr:rowOff>19050</xdr:rowOff>
        </xdr:from>
        <xdr:to>
          <xdr:col>6</xdr:col>
          <xdr:colOff>457200</xdr:colOff>
          <xdr:row>97</xdr:row>
          <xdr:rowOff>771525</xdr:rowOff>
        </xdr:to>
        <xdr:sp macro="" textlink="">
          <xdr:nvSpPr>
            <xdr:cNvPr id="11408" name="Spinner 144" hidden="1">
              <a:extLst>
                <a:ext uri="{63B3BB69-23CF-44E3-9099-C40C66FF867C}">
                  <a14:compatExt spid="_x0000_s11408"/>
                </a:ext>
                <a:ext uri="{FF2B5EF4-FFF2-40B4-BE49-F238E27FC236}">
                  <a16:creationId xmlns:a16="http://schemas.microsoft.com/office/drawing/2014/main" id="{00000000-0008-0000-0700-00009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98</xdr:row>
          <xdr:rowOff>19050</xdr:rowOff>
        </xdr:from>
        <xdr:to>
          <xdr:col>6</xdr:col>
          <xdr:colOff>438150</xdr:colOff>
          <xdr:row>98</xdr:row>
          <xdr:rowOff>809625</xdr:rowOff>
        </xdr:to>
        <xdr:sp macro="" textlink="">
          <xdr:nvSpPr>
            <xdr:cNvPr id="11409" name="Spinner 145" hidden="1">
              <a:extLst>
                <a:ext uri="{63B3BB69-23CF-44E3-9099-C40C66FF867C}">
                  <a14:compatExt spid="_x0000_s11409"/>
                </a:ext>
                <a:ext uri="{FF2B5EF4-FFF2-40B4-BE49-F238E27FC236}">
                  <a16:creationId xmlns:a16="http://schemas.microsoft.com/office/drawing/2014/main" id="{00000000-0008-0000-0700-00009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91</xdr:row>
          <xdr:rowOff>57150</xdr:rowOff>
        </xdr:from>
        <xdr:to>
          <xdr:col>10</xdr:col>
          <xdr:colOff>457200</xdr:colOff>
          <xdr:row>91</xdr:row>
          <xdr:rowOff>800100</xdr:rowOff>
        </xdr:to>
        <xdr:sp macro="" textlink="">
          <xdr:nvSpPr>
            <xdr:cNvPr id="11410" name="Spinner 146" hidden="1">
              <a:extLst>
                <a:ext uri="{63B3BB69-23CF-44E3-9099-C40C66FF867C}">
                  <a14:compatExt spid="_x0000_s11410"/>
                </a:ext>
                <a:ext uri="{FF2B5EF4-FFF2-40B4-BE49-F238E27FC236}">
                  <a16:creationId xmlns:a16="http://schemas.microsoft.com/office/drawing/2014/main" id="{00000000-0008-0000-0700-00009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92</xdr:row>
          <xdr:rowOff>57150</xdr:rowOff>
        </xdr:from>
        <xdr:to>
          <xdr:col>10</xdr:col>
          <xdr:colOff>457200</xdr:colOff>
          <xdr:row>92</xdr:row>
          <xdr:rowOff>762000</xdr:rowOff>
        </xdr:to>
        <xdr:sp macro="" textlink="">
          <xdr:nvSpPr>
            <xdr:cNvPr id="11411" name="Spinner 147" hidden="1">
              <a:extLst>
                <a:ext uri="{63B3BB69-23CF-44E3-9099-C40C66FF867C}">
                  <a14:compatExt spid="_x0000_s11411"/>
                </a:ext>
                <a:ext uri="{FF2B5EF4-FFF2-40B4-BE49-F238E27FC236}">
                  <a16:creationId xmlns:a16="http://schemas.microsoft.com/office/drawing/2014/main" id="{00000000-0008-0000-0700-00009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93</xdr:row>
          <xdr:rowOff>57150</xdr:rowOff>
        </xdr:from>
        <xdr:to>
          <xdr:col>10</xdr:col>
          <xdr:colOff>457200</xdr:colOff>
          <xdr:row>93</xdr:row>
          <xdr:rowOff>762000</xdr:rowOff>
        </xdr:to>
        <xdr:sp macro="" textlink="">
          <xdr:nvSpPr>
            <xdr:cNvPr id="11412" name="Spinner 148" hidden="1">
              <a:extLst>
                <a:ext uri="{63B3BB69-23CF-44E3-9099-C40C66FF867C}">
                  <a14:compatExt spid="_x0000_s11412"/>
                </a:ext>
                <a:ext uri="{FF2B5EF4-FFF2-40B4-BE49-F238E27FC236}">
                  <a16:creationId xmlns:a16="http://schemas.microsoft.com/office/drawing/2014/main" id="{00000000-0008-0000-0700-00009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94</xdr:row>
          <xdr:rowOff>57150</xdr:rowOff>
        </xdr:from>
        <xdr:to>
          <xdr:col>10</xdr:col>
          <xdr:colOff>457200</xdr:colOff>
          <xdr:row>94</xdr:row>
          <xdr:rowOff>762000</xdr:rowOff>
        </xdr:to>
        <xdr:sp macro="" textlink="">
          <xdr:nvSpPr>
            <xdr:cNvPr id="11413" name="Spinner 149" hidden="1">
              <a:extLst>
                <a:ext uri="{63B3BB69-23CF-44E3-9099-C40C66FF867C}">
                  <a14:compatExt spid="_x0000_s11413"/>
                </a:ext>
                <a:ext uri="{FF2B5EF4-FFF2-40B4-BE49-F238E27FC236}">
                  <a16:creationId xmlns:a16="http://schemas.microsoft.com/office/drawing/2014/main" id="{00000000-0008-0000-0700-00009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95</xdr:row>
          <xdr:rowOff>57150</xdr:rowOff>
        </xdr:from>
        <xdr:to>
          <xdr:col>10</xdr:col>
          <xdr:colOff>457200</xdr:colOff>
          <xdr:row>95</xdr:row>
          <xdr:rowOff>762000</xdr:rowOff>
        </xdr:to>
        <xdr:sp macro="" textlink="">
          <xdr:nvSpPr>
            <xdr:cNvPr id="11414" name="Spinner 150" hidden="1">
              <a:extLst>
                <a:ext uri="{63B3BB69-23CF-44E3-9099-C40C66FF867C}">
                  <a14:compatExt spid="_x0000_s11414"/>
                </a:ext>
                <a:ext uri="{FF2B5EF4-FFF2-40B4-BE49-F238E27FC236}">
                  <a16:creationId xmlns:a16="http://schemas.microsoft.com/office/drawing/2014/main" id="{00000000-0008-0000-0700-00009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96</xdr:row>
          <xdr:rowOff>57150</xdr:rowOff>
        </xdr:from>
        <xdr:to>
          <xdr:col>10</xdr:col>
          <xdr:colOff>457200</xdr:colOff>
          <xdr:row>96</xdr:row>
          <xdr:rowOff>762000</xdr:rowOff>
        </xdr:to>
        <xdr:sp macro="" textlink="">
          <xdr:nvSpPr>
            <xdr:cNvPr id="11415" name="Spinner 151" hidden="1">
              <a:extLst>
                <a:ext uri="{63B3BB69-23CF-44E3-9099-C40C66FF867C}">
                  <a14:compatExt spid="_x0000_s11415"/>
                </a:ext>
                <a:ext uri="{FF2B5EF4-FFF2-40B4-BE49-F238E27FC236}">
                  <a16:creationId xmlns:a16="http://schemas.microsoft.com/office/drawing/2014/main" id="{00000000-0008-0000-0700-00009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97</xdr:row>
          <xdr:rowOff>57150</xdr:rowOff>
        </xdr:from>
        <xdr:to>
          <xdr:col>10</xdr:col>
          <xdr:colOff>457200</xdr:colOff>
          <xdr:row>97</xdr:row>
          <xdr:rowOff>762000</xdr:rowOff>
        </xdr:to>
        <xdr:sp macro="" textlink="">
          <xdr:nvSpPr>
            <xdr:cNvPr id="11416" name="Spinner 152" hidden="1">
              <a:extLst>
                <a:ext uri="{63B3BB69-23CF-44E3-9099-C40C66FF867C}">
                  <a14:compatExt spid="_x0000_s11416"/>
                </a:ext>
                <a:ext uri="{FF2B5EF4-FFF2-40B4-BE49-F238E27FC236}">
                  <a16:creationId xmlns:a16="http://schemas.microsoft.com/office/drawing/2014/main" id="{00000000-0008-0000-0700-00009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98</xdr:row>
          <xdr:rowOff>57150</xdr:rowOff>
        </xdr:from>
        <xdr:to>
          <xdr:col>10</xdr:col>
          <xdr:colOff>457200</xdr:colOff>
          <xdr:row>98</xdr:row>
          <xdr:rowOff>762000</xdr:rowOff>
        </xdr:to>
        <xdr:sp macro="" textlink="">
          <xdr:nvSpPr>
            <xdr:cNvPr id="11418" name="Spinner 154" hidden="1">
              <a:extLst>
                <a:ext uri="{63B3BB69-23CF-44E3-9099-C40C66FF867C}">
                  <a14:compatExt spid="_x0000_s11418"/>
                </a:ext>
                <a:ext uri="{FF2B5EF4-FFF2-40B4-BE49-F238E27FC236}">
                  <a16:creationId xmlns:a16="http://schemas.microsoft.com/office/drawing/2014/main" id="{00000000-0008-0000-0700-00009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38100</xdr:colOff>
          <xdr:row>91</xdr:row>
          <xdr:rowOff>57150</xdr:rowOff>
        </xdr:from>
        <xdr:to>
          <xdr:col>14</xdr:col>
          <xdr:colOff>457200</xdr:colOff>
          <xdr:row>91</xdr:row>
          <xdr:rowOff>800100</xdr:rowOff>
        </xdr:to>
        <xdr:sp macro="" textlink="">
          <xdr:nvSpPr>
            <xdr:cNvPr id="11419" name="Spinner 155" hidden="1">
              <a:extLst>
                <a:ext uri="{63B3BB69-23CF-44E3-9099-C40C66FF867C}">
                  <a14:compatExt spid="_x0000_s11419"/>
                </a:ext>
                <a:ext uri="{FF2B5EF4-FFF2-40B4-BE49-F238E27FC236}">
                  <a16:creationId xmlns:a16="http://schemas.microsoft.com/office/drawing/2014/main" id="{00000000-0008-0000-0700-00009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38100</xdr:colOff>
          <xdr:row>92</xdr:row>
          <xdr:rowOff>57150</xdr:rowOff>
        </xdr:from>
        <xdr:to>
          <xdr:col>14</xdr:col>
          <xdr:colOff>457200</xdr:colOff>
          <xdr:row>92</xdr:row>
          <xdr:rowOff>762000</xdr:rowOff>
        </xdr:to>
        <xdr:sp macro="" textlink="">
          <xdr:nvSpPr>
            <xdr:cNvPr id="11420" name="Spinner 156" hidden="1">
              <a:extLst>
                <a:ext uri="{63B3BB69-23CF-44E3-9099-C40C66FF867C}">
                  <a14:compatExt spid="_x0000_s11420"/>
                </a:ext>
                <a:ext uri="{FF2B5EF4-FFF2-40B4-BE49-F238E27FC236}">
                  <a16:creationId xmlns:a16="http://schemas.microsoft.com/office/drawing/2014/main" id="{00000000-0008-0000-0700-00009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38100</xdr:colOff>
          <xdr:row>93</xdr:row>
          <xdr:rowOff>57150</xdr:rowOff>
        </xdr:from>
        <xdr:to>
          <xdr:col>14</xdr:col>
          <xdr:colOff>457200</xdr:colOff>
          <xdr:row>93</xdr:row>
          <xdr:rowOff>762000</xdr:rowOff>
        </xdr:to>
        <xdr:sp macro="" textlink="">
          <xdr:nvSpPr>
            <xdr:cNvPr id="11421" name="Spinner 157" hidden="1">
              <a:extLst>
                <a:ext uri="{63B3BB69-23CF-44E3-9099-C40C66FF867C}">
                  <a14:compatExt spid="_x0000_s11421"/>
                </a:ext>
                <a:ext uri="{FF2B5EF4-FFF2-40B4-BE49-F238E27FC236}">
                  <a16:creationId xmlns:a16="http://schemas.microsoft.com/office/drawing/2014/main" id="{00000000-0008-0000-0700-00009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38100</xdr:colOff>
          <xdr:row>94</xdr:row>
          <xdr:rowOff>57150</xdr:rowOff>
        </xdr:from>
        <xdr:to>
          <xdr:col>14</xdr:col>
          <xdr:colOff>457200</xdr:colOff>
          <xdr:row>94</xdr:row>
          <xdr:rowOff>762000</xdr:rowOff>
        </xdr:to>
        <xdr:sp macro="" textlink="">
          <xdr:nvSpPr>
            <xdr:cNvPr id="11422" name="Spinner 158" hidden="1">
              <a:extLst>
                <a:ext uri="{63B3BB69-23CF-44E3-9099-C40C66FF867C}">
                  <a14:compatExt spid="_x0000_s11422"/>
                </a:ext>
                <a:ext uri="{FF2B5EF4-FFF2-40B4-BE49-F238E27FC236}">
                  <a16:creationId xmlns:a16="http://schemas.microsoft.com/office/drawing/2014/main" id="{00000000-0008-0000-0700-00009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38100</xdr:colOff>
          <xdr:row>95</xdr:row>
          <xdr:rowOff>57150</xdr:rowOff>
        </xdr:from>
        <xdr:to>
          <xdr:col>14</xdr:col>
          <xdr:colOff>457200</xdr:colOff>
          <xdr:row>95</xdr:row>
          <xdr:rowOff>762000</xdr:rowOff>
        </xdr:to>
        <xdr:sp macro="" textlink="">
          <xdr:nvSpPr>
            <xdr:cNvPr id="11423" name="Spinner 159" hidden="1">
              <a:extLst>
                <a:ext uri="{63B3BB69-23CF-44E3-9099-C40C66FF867C}">
                  <a14:compatExt spid="_x0000_s11423"/>
                </a:ext>
                <a:ext uri="{FF2B5EF4-FFF2-40B4-BE49-F238E27FC236}">
                  <a16:creationId xmlns:a16="http://schemas.microsoft.com/office/drawing/2014/main" id="{00000000-0008-0000-0700-00009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38100</xdr:colOff>
          <xdr:row>96</xdr:row>
          <xdr:rowOff>57150</xdr:rowOff>
        </xdr:from>
        <xdr:to>
          <xdr:col>14</xdr:col>
          <xdr:colOff>457200</xdr:colOff>
          <xdr:row>96</xdr:row>
          <xdr:rowOff>762000</xdr:rowOff>
        </xdr:to>
        <xdr:sp macro="" textlink="">
          <xdr:nvSpPr>
            <xdr:cNvPr id="11424" name="Spinner 160" hidden="1">
              <a:extLst>
                <a:ext uri="{63B3BB69-23CF-44E3-9099-C40C66FF867C}">
                  <a14:compatExt spid="_x0000_s11424"/>
                </a:ext>
                <a:ext uri="{FF2B5EF4-FFF2-40B4-BE49-F238E27FC236}">
                  <a16:creationId xmlns:a16="http://schemas.microsoft.com/office/drawing/2014/main" id="{00000000-0008-0000-0700-0000A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38100</xdr:colOff>
          <xdr:row>97</xdr:row>
          <xdr:rowOff>57150</xdr:rowOff>
        </xdr:from>
        <xdr:to>
          <xdr:col>14</xdr:col>
          <xdr:colOff>457200</xdr:colOff>
          <xdr:row>97</xdr:row>
          <xdr:rowOff>762000</xdr:rowOff>
        </xdr:to>
        <xdr:sp macro="" textlink="">
          <xdr:nvSpPr>
            <xdr:cNvPr id="11425" name="Spinner 161" hidden="1">
              <a:extLst>
                <a:ext uri="{63B3BB69-23CF-44E3-9099-C40C66FF867C}">
                  <a14:compatExt spid="_x0000_s11425"/>
                </a:ext>
                <a:ext uri="{FF2B5EF4-FFF2-40B4-BE49-F238E27FC236}">
                  <a16:creationId xmlns:a16="http://schemas.microsoft.com/office/drawing/2014/main" id="{00000000-0008-0000-0700-0000A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38100</xdr:colOff>
          <xdr:row>98</xdr:row>
          <xdr:rowOff>57150</xdr:rowOff>
        </xdr:from>
        <xdr:to>
          <xdr:col>14</xdr:col>
          <xdr:colOff>457200</xdr:colOff>
          <xdr:row>98</xdr:row>
          <xdr:rowOff>762000</xdr:rowOff>
        </xdr:to>
        <xdr:sp macro="" textlink="">
          <xdr:nvSpPr>
            <xdr:cNvPr id="11426" name="Spinner 162" hidden="1">
              <a:extLst>
                <a:ext uri="{63B3BB69-23CF-44E3-9099-C40C66FF867C}">
                  <a14:compatExt spid="_x0000_s11426"/>
                </a:ext>
                <a:ext uri="{FF2B5EF4-FFF2-40B4-BE49-F238E27FC236}">
                  <a16:creationId xmlns:a16="http://schemas.microsoft.com/office/drawing/2014/main" id="{00000000-0008-0000-0700-0000A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76200</xdr:colOff>
          <xdr:row>4</xdr:row>
          <xdr:rowOff>19050</xdr:rowOff>
        </xdr:from>
        <xdr:to>
          <xdr:col>19</xdr:col>
          <xdr:colOff>876300</xdr:colOff>
          <xdr:row>4</xdr:row>
          <xdr:rowOff>457200</xdr:rowOff>
        </xdr:to>
        <xdr:sp macro="" textlink="">
          <xdr:nvSpPr>
            <xdr:cNvPr id="11427" name="Spinner 163" hidden="1">
              <a:extLst>
                <a:ext uri="{63B3BB69-23CF-44E3-9099-C40C66FF867C}">
                  <a14:compatExt spid="_x0000_s11427"/>
                </a:ext>
                <a:ext uri="{FF2B5EF4-FFF2-40B4-BE49-F238E27FC236}">
                  <a16:creationId xmlns:a16="http://schemas.microsoft.com/office/drawing/2014/main" id="{00000000-0008-0000-0700-0000A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76200</xdr:colOff>
          <xdr:row>5</xdr:row>
          <xdr:rowOff>19050</xdr:rowOff>
        </xdr:from>
        <xdr:to>
          <xdr:col>19</xdr:col>
          <xdr:colOff>876300</xdr:colOff>
          <xdr:row>5</xdr:row>
          <xdr:rowOff>457200</xdr:rowOff>
        </xdr:to>
        <xdr:sp macro="" textlink="">
          <xdr:nvSpPr>
            <xdr:cNvPr id="11428" name="Spinner 164" hidden="1">
              <a:extLst>
                <a:ext uri="{63B3BB69-23CF-44E3-9099-C40C66FF867C}">
                  <a14:compatExt spid="_x0000_s11428"/>
                </a:ext>
                <a:ext uri="{FF2B5EF4-FFF2-40B4-BE49-F238E27FC236}">
                  <a16:creationId xmlns:a16="http://schemas.microsoft.com/office/drawing/2014/main" id="{00000000-0008-0000-0700-0000A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76200</xdr:colOff>
          <xdr:row>6</xdr:row>
          <xdr:rowOff>19050</xdr:rowOff>
        </xdr:from>
        <xdr:to>
          <xdr:col>19</xdr:col>
          <xdr:colOff>876300</xdr:colOff>
          <xdr:row>6</xdr:row>
          <xdr:rowOff>457200</xdr:rowOff>
        </xdr:to>
        <xdr:sp macro="" textlink="">
          <xdr:nvSpPr>
            <xdr:cNvPr id="11429" name="Spinner 165" hidden="1">
              <a:extLst>
                <a:ext uri="{63B3BB69-23CF-44E3-9099-C40C66FF867C}">
                  <a14:compatExt spid="_x0000_s11429"/>
                </a:ext>
                <a:ext uri="{FF2B5EF4-FFF2-40B4-BE49-F238E27FC236}">
                  <a16:creationId xmlns:a16="http://schemas.microsoft.com/office/drawing/2014/main" id="{00000000-0008-0000-0700-0000A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76200</xdr:colOff>
          <xdr:row>31</xdr:row>
          <xdr:rowOff>19050</xdr:rowOff>
        </xdr:from>
        <xdr:to>
          <xdr:col>19</xdr:col>
          <xdr:colOff>876300</xdr:colOff>
          <xdr:row>31</xdr:row>
          <xdr:rowOff>781050</xdr:rowOff>
        </xdr:to>
        <xdr:sp macro="" textlink="">
          <xdr:nvSpPr>
            <xdr:cNvPr id="11430" name="Spinner 166" hidden="1">
              <a:extLst>
                <a:ext uri="{63B3BB69-23CF-44E3-9099-C40C66FF867C}">
                  <a14:compatExt spid="_x0000_s11430"/>
                </a:ext>
                <a:ext uri="{FF2B5EF4-FFF2-40B4-BE49-F238E27FC236}">
                  <a16:creationId xmlns:a16="http://schemas.microsoft.com/office/drawing/2014/main" id="{00000000-0008-0000-0700-0000A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76200</xdr:colOff>
          <xdr:row>32</xdr:row>
          <xdr:rowOff>19050</xdr:rowOff>
        </xdr:from>
        <xdr:to>
          <xdr:col>19</xdr:col>
          <xdr:colOff>876300</xdr:colOff>
          <xdr:row>32</xdr:row>
          <xdr:rowOff>781050</xdr:rowOff>
        </xdr:to>
        <xdr:sp macro="" textlink="">
          <xdr:nvSpPr>
            <xdr:cNvPr id="11431" name="Spinner 167" hidden="1">
              <a:extLst>
                <a:ext uri="{63B3BB69-23CF-44E3-9099-C40C66FF867C}">
                  <a14:compatExt spid="_x0000_s11431"/>
                </a:ext>
                <a:ext uri="{FF2B5EF4-FFF2-40B4-BE49-F238E27FC236}">
                  <a16:creationId xmlns:a16="http://schemas.microsoft.com/office/drawing/2014/main" id="{00000000-0008-0000-0700-0000A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38100</xdr:colOff>
          <xdr:row>33</xdr:row>
          <xdr:rowOff>38100</xdr:rowOff>
        </xdr:from>
        <xdr:to>
          <xdr:col>19</xdr:col>
          <xdr:colOff>857250</xdr:colOff>
          <xdr:row>33</xdr:row>
          <xdr:rowOff>781050</xdr:rowOff>
        </xdr:to>
        <xdr:sp macro="" textlink="">
          <xdr:nvSpPr>
            <xdr:cNvPr id="11432" name="Spinner 168" hidden="1">
              <a:extLst>
                <a:ext uri="{63B3BB69-23CF-44E3-9099-C40C66FF867C}">
                  <a14:compatExt spid="_x0000_s11432"/>
                </a:ext>
                <a:ext uri="{FF2B5EF4-FFF2-40B4-BE49-F238E27FC236}">
                  <a16:creationId xmlns:a16="http://schemas.microsoft.com/office/drawing/2014/main" id="{00000000-0008-0000-0700-0000A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76200</xdr:colOff>
          <xdr:row>9</xdr:row>
          <xdr:rowOff>19050</xdr:rowOff>
        </xdr:from>
        <xdr:to>
          <xdr:col>20</xdr:col>
          <xdr:colOff>0</xdr:colOff>
          <xdr:row>9</xdr:row>
          <xdr:rowOff>457200</xdr:rowOff>
        </xdr:to>
        <xdr:sp macro="" textlink="">
          <xdr:nvSpPr>
            <xdr:cNvPr id="11434" name="Spinner 170" hidden="1">
              <a:extLst>
                <a:ext uri="{63B3BB69-23CF-44E3-9099-C40C66FF867C}">
                  <a14:compatExt spid="_x0000_s11434"/>
                </a:ext>
                <a:ext uri="{FF2B5EF4-FFF2-40B4-BE49-F238E27FC236}">
                  <a16:creationId xmlns:a16="http://schemas.microsoft.com/office/drawing/2014/main" id="{00000000-0008-0000-0700-0000A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38100</xdr:colOff>
          <xdr:row>37</xdr:row>
          <xdr:rowOff>38100</xdr:rowOff>
        </xdr:from>
        <xdr:to>
          <xdr:col>19</xdr:col>
          <xdr:colOff>857250</xdr:colOff>
          <xdr:row>38</xdr:row>
          <xdr:rowOff>0</xdr:rowOff>
        </xdr:to>
        <xdr:sp macro="" textlink="">
          <xdr:nvSpPr>
            <xdr:cNvPr id="11435" name="Spinner 171" hidden="1">
              <a:extLst>
                <a:ext uri="{63B3BB69-23CF-44E3-9099-C40C66FF867C}">
                  <a14:compatExt spid="_x0000_s11435"/>
                </a:ext>
                <a:ext uri="{FF2B5EF4-FFF2-40B4-BE49-F238E27FC236}">
                  <a16:creationId xmlns:a16="http://schemas.microsoft.com/office/drawing/2014/main" id="{00000000-0008-0000-0700-0000A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28575</xdr:colOff>
          <xdr:row>61</xdr:row>
          <xdr:rowOff>28575</xdr:rowOff>
        </xdr:from>
        <xdr:to>
          <xdr:col>19</xdr:col>
          <xdr:colOff>876300</xdr:colOff>
          <xdr:row>62</xdr:row>
          <xdr:rowOff>0</xdr:rowOff>
        </xdr:to>
        <xdr:sp macro="" textlink="">
          <xdr:nvSpPr>
            <xdr:cNvPr id="11437" name="Spinner 173" hidden="1">
              <a:extLst>
                <a:ext uri="{63B3BB69-23CF-44E3-9099-C40C66FF867C}">
                  <a14:compatExt spid="_x0000_s11437"/>
                </a:ext>
                <a:ext uri="{FF2B5EF4-FFF2-40B4-BE49-F238E27FC236}">
                  <a16:creationId xmlns:a16="http://schemas.microsoft.com/office/drawing/2014/main" id="{00000000-0008-0000-0700-0000A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19050</xdr:colOff>
          <xdr:row>62</xdr:row>
          <xdr:rowOff>19050</xdr:rowOff>
        </xdr:from>
        <xdr:to>
          <xdr:col>19</xdr:col>
          <xdr:colOff>866775</xdr:colOff>
          <xdr:row>63</xdr:row>
          <xdr:rowOff>0</xdr:rowOff>
        </xdr:to>
        <xdr:sp macro="" textlink="">
          <xdr:nvSpPr>
            <xdr:cNvPr id="11438" name="Spinner 174" hidden="1">
              <a:extLst>
                <a:ext uri="{63B3BB69-23CF-44E3-9099-C40C66FF867C}">
                  <a14:compatExt spid="_x0000_s11438"/>
                </a:ext>
                <a:ext uri="{FF2B5EF4-FFF2-40B4-BE49-F238E27FC236}">
                  <a16:creationId xmlns:a16="http://schemas.microsoft.com/office/drawing/2014/main" id="{00000000-0008-0000-0700-0000A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19050</xdr:colOff>
          <xdr:row>63</xdr:row>
          <xdr:rowOff>38100</xdr:rowOff>
        </xdr:from>
        <xdr:to>
          <xdr:col>19</xdr:col>
          <xdr:colOff>876300</xdr:colOff>
          <xdr:row>64</xdr:row>
          <xdr:rowOff>0</xdr:rowOff>
        </xdr:to>
        <xdr:sp macro="" textlink="">
          <xdr:nvSpPr>
            <xdr:cNvPr id="11440" name="Spinner 176" hidden="1">
              <a:extLst>
                <a:ext uri="{63B3BB69-23CF-44E3-9099-C40C66FF867C}">
                  <a14:compatExt spid="_x0000_s11440"/>
                </a:ext>
                <a:ext uri="{FF2B5EF4-FFF2-40B4-BE49-F238E27FC236}">
                  <a16:creationId xmlns:a16="http://schemas.microsoft.com/office/drawing/2014/main" id="{00000000-0008-0000-0700-0000B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38100</xdr:colOff>
          <xdr:row>67</xdr:row>
          <xdr:rowOff>38100</xdr:rowOff>
        </xdr:from>
        <xdr:to>
          <xdr:col>20</xdr:col>
          <xdr:colOff>0</xdr:colOff>
          <xdr:row>68</xdr:row>
          <xdr:rowOff>0</xdr:rowOff>
        </xdr:to>
        <xdr:sp macro="" textlink="">
          <xdr:nvSpPr>
            <xdr:cNvPr id="11441" name="Spinner 177" hidden="1">
              <a:extLst>
                <a:ext uri="{63B3BB69-23CF-44E3-9099-C40C66FF867C}">
                  <a14:compatExt spid="_x0000_s11441"/>
                </a:ext>
                <a:ext uri="{FF2B5EF4-FFF2-40B4-BE49-F238E27FC236}">
                  <a16:creationId xmlns:a16="http://schemas.microsoft.com/office/drawing/2014/main" id="{00000000-0008-0000-0700-0000B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28575</xdr:colOff>
          <xdr:row>91</xdr:row>
          <xdr:rowOff>28575</xdr:rowOff>
        </xdr:from>
        <xdr:to>
          <xdr:col>20</xdr:col>
          <xdr:colOff>0</xdr:colOff>
          <xdr:row>91</xdr:row>
          <xdr:rowOff>695325</xdr:rowOff>
        </xdr:to>
        <xdr:sp macro="" textlink="">
          <xdr:nvSpPr>
            <xdr:cNvPr id="11442" name="Spinner 178" hidden="1">
              <a:extLst>
                <a:ext uri="{63B3BB69-23CF-44E3-9099-C40C66FF867C}">
                  <a14:compatExt spid="_x0000_s11442"/>
                </a:ext>
                <a:ext uri="{FF2B5EF4-FFF2-40B4-BE49-F238E27FC236}">
                  <a16:creationId xmlns:a16="http://schemas.microsoft.com/office/drawing/2014/main" id="{00000000-0008-0000-0700-0000B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19050</xdr:colOff>
          <xdr:row>92</xdr:row>
          <xdr:rowOff>19050</xdr:rowOff>
        </xdr:from>
        <xdr:to>
          <xdr:col>20</xdr:col>
          <xdr:colOff>0</xdr:colOff>
          <xdr:row>93</xdr:row>
          <xdr:rowOff>0</xdr:rowOff>
        </xdr:to>
        <xdr:sp macro="" textlink="">
          <xdr:nvSpPr>
            <xdr:cNvPr id="11443" name="Spinner 179" hidden="1">
              <a:extLst>
                <a:ext uri="{63B3BB69-23CF-44E3-9099-C40C66FF867C}">
                  <a14:compatExt spid="_x0000_s11443"/>
                </a:ext>
                <a:ext uri="{FF2B5EF4-FFF2-40B4-BE49-F238E27FC236}">
                  <a16:creationId xmlns:a16="http://schemas.microsoft.com/office/drawing/2014/main" id="{00000000-0008-0000-0700-0000B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19050</xdr:colOff>
          <xdr:row>93</xdr:row>
          <xdr:rowOff>38100</xdr:rowOff>
        </xdr:from>
        <xdr:to>
          <xdr:col>20</xdr:col>
          <xdr:colOff>0</xdr:colOff>
          <xdr:row>94</xdr:row>
          <xdr:rowOff>0</xdr:rowOff>
        </xdr:to>
        <xdr:sp macro="" textlink="">
          <xdr:nvSpPr>
            <xdr:cNvPr id="11444" name="Spinner 180" hidden="1">
              <a:extLst>
                <a:ext uri="{63B3BB69-23CF-44E3-9099-C40C66FF867C}">
                  <a14:compatExt spid="_x0000_s11444"/>
                </a:ext>
                <a:ext uri="{FF2B5EF4-FFF2-40B4-BE49-F238E27FC236}">
                  <a16:creationId xmlns:a16="http://schemas.microsoft.com/office/drawing/2014/main" id="{00000000-0008-0000-0700-0000B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38100</xdr:colOff>
          <xdr:row>97</xdr:row>
          <xdr:rowOff>38100</xdr:rowOff>
        </xdr:from>
        <xdr:to>
          <xdr:col>20</xdr:col>
          <xdr:colOff>0</xdr:colOff>
          <xdr:row>97</xdr:row>
          <xdr:rowOff>628650</xdr:rowOff>
        </xdr:to>
        <xdr:sp macro="" textlink="">
          <xdr:nvSpPr>
            <xdr:cNvPr id="11445" name="Spinner 181" hidden="1">
              <a:extLst>
                <a:ext uri="{63B3BB69-23CF-44E3-9099-C40C66FF867C}">
                  <a14:compatExt spid="_x0000_s11445"/>
                </a:ext>
                <a:ext uri="{FF2B5EF4-FFF2-40B4-BE49-F238E27FC236}">
                  <a16:creationId xmlns:a16="http://schemas.microsoft.com/office/drawing/2014/main" id="{00000000-0008-0000-0700-0000B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121</xdr:row>
          <xdr:rowOff>0</xdr:rowOff>
        </xdr:from>
        <xdr:to>
          <xdr:col>6</xdr:col>
          <xdr:colOff>419100</xdr:colOff>
          <xdr:row>121</xdr:row>
          <xdr:rowOff>714375</xdr:rowOff>
        </xdr:to>
        <xdr:sp macro="" textlink="">
          <xdr:nvSpPr>
            <xdr:cNvPr id="11446" name="Spinner 182" hidden="1">
              <a:extLst>
                <a:ext uri="{63B3BB69-23CF-44E3-9099-C40C66FF867C}">
                  <a14:compatExt spid="_x0000_s11446"/>
                </a:ext>
                <a:ext uri="{FF2B5EF4-FFF2-40B4-BE49-F238E27FC236}">
                  <a16:creationId xmlns:a16="http://schemas.microsoft.com/office/drawing/2014/main" id="{00000000-0008-0000-0700-0000B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122</xdr:row>
          <xdr:rowOff>9525</xdr:rowOff>
        </xdr:from>
        <xdr:to>
          <xdr:col>6</xdr:col>
          <xdr:colOff>419100</xdr:colOff>
          <xdr:row>122</xdr:row>
          <xdr:rowOff>704850</xdr:rowOff>
        </xdr:to>
        <xdr:sp macro="" textlink="">
          <xdr:nvSpPr>
            <xdr:cNvPr id="11447" name="Spinner 183" hidden="1">
              <a:extLst>
                <a:ext uri="{63B3BB69-23CF-44E3-9099-C40C66FF867C}">
                  <a14:compatExt spid="_x0000_s11447"/>
                </a:ext>
                <a:ext uri="{FF2B5EF4-FFF2-40B4-BE49-F238E27FC236}">
                  <a16:creationId xmlns:a16="http://schemas.microsoft.com/office/drawing/2014/main" id="{00000000-0008-0000-0700-0000B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123</xdr:row>
          <xdr:rowOff>28575</xdr:rowOff>
        </xdr:from>
        <xdr:to>
          <xdr:col>6</xdr:col>
          <xdr:colOff>438150</xdr:colOff>
          <xdr:row>123</xdr:row>
          <xdr:rowOff>695325</xdr:rowOff>
        </xdr:to>
        <xdr:sp macro="" textlink="">
          <xdr:nvSpPr>
            <xdr:cNvPr id="11449" name="Spinner 185" hidden="1">
              <a:extLst>
                <a:ext uri="{63B3BB69-23CF-44E3-9099-C40C66FF867C}">
                  <a14:compatExt spid="_x0000_s11449"/>
                </a:ext>
                <a:ext uri="{FF2B5EF4-FFF2-40B4-BE49-F238E27FC236}">
                  <a16:creationId xmlns:a16="http://schemas.microsoft.com/office/drawing/2014/main" id="{00000000-0008-0000-0700-0000B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124</xdr:row>
          <xdr:rowOff>19050</xdr:rowOff>
        </xdr:from>
        <xdr:to>
          <xdr:col>6</xdr:col>
          <xdr:colOff>447675</xdr:colOff>
          <xdr:row>124</xdr:row>
          <xdr:rowOff>666750</xdr:rowOff>
        </xdr:to>
        <xdr:sp macro="" textlink="">
          <xdr:nvSpPr>
            <xdr:cNvPr id="11450" name="Spinner 186" hidden="1">
              <a:extLst>
                <a:ext uri="{63B3BB69-23CF-44E3-9099-C40C66FF867C}">
                  <a14:compatExt spid="_x0000_s11450"/>
                </a:ext>
                <a:ext uri="{FF2B5EF4-FFF2-40B4-BE49-F238E27FC236}">
                  <a16:creationId xmlns:a16="http://schemas.microsoft.com/office/drawing/2014/main" id="{00000000-0008-0000-0700-0000B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125</xdr:row>
          <xdr:rowOff>47625</xdr:rowOff>
        </xdr:from>
        <xdr:to>
          <xdr:col>6</xdr:col>
          <xdr:colOff>438150</xdr:colOff>
          <xdr:row>125</xdr:row>
          <xdr:rowOff>685800</xdr:rowOff>
        </xdr:to>
        <xdr:sp macro="" textlink="">
          <xdr:nvSpPr>
            <xdr:cNvPr id="11451" name="Spinner 187" hidden="1">
              <a:extLst>
                <a:ext uri="{63B3BB69-23CF-44E3-9099-C40C66FF867C}">
                  <a14:compatExt spid="_x0000_s11451"/>
                </a:ext>
                <a:ext uri="{FF2B5EF4-FFF2-40B4-BE49-F238E27FC236}">
                  <a16:creationId xmlns:a16="http://schemas.microsoft.com/office/drawing/2014/main" id="{00000000-0008-0000-0700-0000B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126</xdr:row>
          <xdr:rowOff>38100</xdr:rowOff>
        </xdr:from>
        <xdr:to>
          <xdr:col>6</xdr:col>
          <xdr:colOff>457200</xdr:colOff>
          <xdr:row>126</xdr:row>
          <xdr:rowOff>676275</xdr:rowOff>
        </xdr:to>
        <xdr:sp macro="" textlink="">
          <xdr:nvSpPr>
            <xdr:cNvPr id="11452" name="Spinner 188" hidden="1">
              <a:extLst>
                <a:ext uri="{63B3BB69-23CF-44E3-9099-C40C66FF867C}">
                  <a14:compatExt spid="_x0000_s11452"/>
                </a:ext>
                <a:ext uri="{FF2B5EF4-FFF2-40B4-BE49-F238E27FC236}">
                  <a16:creationId xmlns:a16="http://schemas.microsoft.com/office/drawing/2014/main" id="{00000000-0008-0000-0700-0000B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127</xdr:row>
          <xdr:rowOff>66675</xdr:rowOff>
        </xdr:from>
        <xdr:to>
          <xdr:col>6</xdr:col>
          <xdr:colOff>438150</xdr:colOff>
          <xdr:row>127</xdr:row>
          <xdr:rowOff>704850</xdr:rowOff>
        </xdr:to>
        <xdr:sp macro="" textlink="">
          <xdr:nvSpPr>
            <xdr:cNvPr id="11453" name="Spinner 189" hidden="1">
              <a:extLst>
                <a:ext uri="{63B3BB69-23CF-44E3-9099-C40C66FF867C}">
                  <a14:compatExt spid="_x0000_s11453"/>
                </a:ext>
                <a:ext uri="{FF2B5EF4-FFF2-40B4-BE49-F238E27FC236}">
                  <a16:creationId xmlns:a16="http://schemas.microsoft.com/office/drawing/2014/main" id="{00000000-0008-0000-0700-0000B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</xdr:colOff>
          <xdr:row>128</xdr:row>
          <xdr:rowOff>38100</xdr:rowOff>
        </xdr:from>
        <xdr:to>
          <xdr:col>6</xdr:col>
          <xdr:colOff>447675</xdr:colOff>
          <xdr:row>128</xdr:row>
          <xdr:rowOff>714375</xdr:rowOff>
        </xdr:to>
        <xdr:sp macro="" textlink="">
          <xdr:nvSpPr>
            <xdr:cNvPr id="11454" name="Spinner 190" hidden="1">
              <a:extLst>
                <a:ext uri="{63B3BB69-23CF-44E3-9099-C40C66FF867C}">
                  <a14:compatExt spid="_x0000_s11454"/>
                </a:ext>
                <a:ext uri="{FF2B5EF4-FFF2-40B4-BE49-F238E27FC236}">
                  <a16:creationId xmlns:a16="http://schemas.microsoft.com/office/drawing/2014/main" id="{00000000-0008-0000-0700-0000B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121</xdr:row>
          <xdr:rowOff>57150</xdr:rowOff>
        </xdr:from>
        <xdr:to>
          <xdr:col>10</xdr:col>
          <xdr:colOff>457200</xdr:colOff>
          <xdr:row>121</xdr:row>
          <xdr:rowOff>695325</xdr:rowOff>
        </xdr:to>
        <xdr:sp macro="" textlink="">
          <xdr:nvSpPr>
            <xdr:cNvPr id="11463" name="Spinner 199" hidden="1">
              <a:extLst>
                <a:ext uri="{63B3BB69-23CF-44E3-9099-C40C66FF867C}">
                  <a14:compatExt spid="_x0000_s11463"/>
                </a:ext>
                <a:ext uri="{FF2B5EF4-FFF2-40B4-BE49-F238E27FC236}">
                  <a16:creationId xmlns:a16="http://schemas.microsoft.com/office/drawing/2014/main" id="{00000000-0008-0000-0700-0000C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122</xdr:row>
          <xdr:rowOff>57150</xdr:rowOff>
        </xdr:from>
        <xdr:to>
          <xdr:col>10</xdr:col>
          <xdr:colOff>457200</xdr:colOff>
          <xdr:row>122</xdr:row>
          <xdr:rowOff>695325</xdr:rowOff>
        </xdr:to>
        <xdr:sp macro="" textlink="">
          <xdr:nvSpPr>
            <xdr:cNvPr id="11464" name="Spinner 200" hidden="1">
              <a:extLst>
                <a:ext uri="{63B3BB69-23CF-44E3-9099-C40C66FF867C}">
                  <a14:compatExt spid="_x0000_s11464"/>
                </a:ext>
                <a:ext uri="{FF2B5EF4-FFF2-40B4-BE49-F238E27FC236}">
                  <a16:creationId xmlns:a16="http://schemas.microsoft.com/office/drawing/2014/main" id="{00000000-0008-0000-0700-0000C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123</xdr:row>
          <xdr:rowOff>47625</xdr:rowOff>
        </xdr:from>
        <xdr:to>
          <xdr:col>10</xdr:col>
          <xdr:colOff>457200</xdr:colOff>
          <xdr:row>123</xdr:row>
          <xdr:rowOff>685800</xdr:rowOff>
        </xdr:to>
        <xdr:sp macro="" textlink="">
          <xdr:nvSpPr>
            <xdr:cNvPr id="11465" name="Spinner 201" hidden="1">
              <a:extLst>
                <a:ext uri="{63B3BB69-23CF-44E3-9099-C40C66FF867C}">
                  <a14:compatExt spid="_x0000_s11465"/>
                </a:ext>
                <a:ext uri="{FF2B5EF4-FFF2-40B4-BE49-F238E27FC236}">
                  <a16:creationId xmlns:a16="http://schemas.microsoft.com/office/drawing/2014/main" id="{00000000-0008-0000-0700-0000C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124</xdr:row>
          <xdr:rowOff>47625</xdr:rowOff>
        </xdr:from>
        <xdr:to>
          <xdr:col>10</xdr:col>
          <xdr:colOff>447675</xdr:colOff>
          <xdr:row>124</xdr:row>
          <xdr:rowOff>685800</xdr:rowOff>
        </xdr:to>
        <xdr:sp macro="" textlink="">
          <xdr:nvSpPr>
            <xdr:cNvPr id="11466" name="Spinner 202" hidden="1">
              <a:extLst>
                <a:ext uri="{63B3BB69-23CF-44E3-9099-C40C66FF867C}">
                  <a14:compatExt spid="_x0000_s11466"/>
                </a:ext>
                <a:ext uri="{FF2B5EF4-FFF2-40B4-BE49-F238E27FC236}">
                  <a16:creationId xmlns:a16="http://schemas.microsoft.com/office/drawing/2014/main" id="{00000000-0008-0000-0700-0000C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125</xdr:row>
          <xdr:rowOff>38100</xdr:rowOff>
        </xdr:from>
        <xdr:to>
          <xdr:col>10</xdr:col>
          <xdr:colOff>447675</xdr:colOff>
          <xdr:row>125</xdr:row>
          <xdr:rowOff>676275</xdr:rowOff>
        </xdr:to>
        <xdr:sp macro="" textlink="">
          <xdr:nvSpPr>
            <xdr:cNvPr id="11467" name="Spinner 203" hidden="1">
              <a:extLst>
                <a:ext uri="{63B3BB69-23CF-44E3-9099-C40C66FF867C}">
                  <a14:compatExt spid="_x0000_s11467"/>
                </a:ext>
                <a:ext uri="{FF2B5EF4-FFF2-40B4-BE49-F238E27FC236}">
                  <a16:creationId xmlns:a16="http://schemas.microsoft.com/office/drawing/2014/main" id="{00000000-0008-0000-0700-0000C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126</xdr:row>
          <xdr:rowOff>38100</xdr:rowOff>
        </xdr:from>
        <xdr:to>
          <xdr:col>10</xdr:col>
          <xdr:colOff>447675</xdr:colOff>
          <xdr:row>126</xdr:row>
          <xdr:rowOff>676275</xdr:rowOff>
        </xdr:to>
        <xdr:sp macro="" textlink="">
          <xdr:nvSpPr>
            <xdr:cNvPr id="11468" name="Spinner 204" hidden="1">
              <a:extLst>
                <a:ext uri="{63B3BB69-23CF-44E3-9099-C40C66FF867C}">
                  <a14:compatExt spid="_x0000_s11468"/>
                </a:ext>
                <a:ext uri="{FF2B5EF4-FFF2-40B4-BE49-F238E27FC236}">
                  <a16:creationId xmlns:a16="http://schemas.microsoft.com/office/drawing/2014/main" id="{00000000-0008-0000-0700-0000C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127</xdr:row>
          <xdr:rowOff>47625</xdr:rowOff>
        </xdr:from>
        <xdr:to>
          <xdr:col>10</xdr:col>
          <xdr:colOff>457200</xdr:colOff>
          <xdr:row>127</xdr:row>
          <xdr:rowOff>685800</xdr:rowOff>
        </xdr:to>
        <xdr:sp macro="" textlink="">
          <xdr:nvSpPr>
            <xdr:cNvPr id="11469" name="Spinner 205" hidden="1">
              <a:extLst>
                <a:ext uri="{63B3BB69-23CF-44E3-9099-C40C66FF867C}">
                  <a14:compatExt spid="_x0000_s11469"/>
                </a:ext>
                <a:ext uri="{FF2B5EF4-FFF2-40B4-BE49-F238E27FC236}">
                  <a16:creationId xmlns:a16="http://schemas.microsoft.com/office/drawing/2014/main" id="{00000000-0008-0000-0700-0000C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128</xdr:row>
          <xdr:rowOff>66675</xdr:rowOff>
        </xdr:from>
        <xdr:to>
          <xdr:col>10</xdr:col>
          <xdr:colOff>457200</xdr:colOff>
          <xdr:row>128</xdr:row>
          <xdr:rowOff>704850</xdr:rowOff>
        </xdr:to>
        <xdr:sp macro="" textlink="">
          <xdr:nvSpPr>
            <xdr:cNvPr id="11470" name="Spinner 206" hidden="1">
              <a:extLst>
                <a:ext uri="{63B3BB69-23CF-44E3-9099-C40C66FF867C}">
                  <a14:compatExt spid="_x0000_s11470"/>
                </a:ext>
                <a:ext uri="{FF2B5EF4-FFF2-40B4-BE49-F238E27FC236}">
                  <a16:creationId xmlns:a16="http://schemas.microsoft.com/office/drawing/2014/main" id="{00000000-0008-0000-0700-0000C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38100</xdr:colOff>
          <xdr:row>121</xdr:row>
          <xdr:rowOff>57150</xdr:rowOff>
        </xdr:from>
        <xdr:to>
          <xdr:col>14</xdr:col>
          <xdr:colOff>457200</xdr:colOff>
          <xdr:row>121</xdr:row>
          <xdr:rowOff>695325</xdr:rowOff>
        </xdr:to>
        <xdr:sp macro="" textlink="">
          <xdr:nvSpPr>
            <xdr:cNvPr id="11471" name="Spinner 207" hidden="1">
              <a:extLst>
                <a:ext uri="{63B3BB69-23CF-44E3-9099-C40C66FF867C}">
                  <a14:compatExt spid="_x0000_s11471"/>
                </a:ext>
                <a:ext uri="{FF2B5EF4-FFF2-40B4-BE49-F238E27FC236}">
                  <a16:creationId xmlns:a16="http://schemas.microsoft.com/office/drawing/2014/main" id="{00000000-0008-0000-0700-0000C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38100</xdr:colOff>
          <xdr:row>122</xdr:row>
          <xdr:rowOff>57150</xdr:rowOff>
        </xdr:from>
        <xdr:to>
          <xdr:col>14</xdr:col>
          <xdr:colOff>457200</xdr:colOff>
          <xdr:row>122</xdr:row>
          <xdr:rowOff>695325</xdr:rowOff>
        </xdr:to>
        <xdr:sp macro="" textlink="">
          <xdr:nvSpPr>
            <xdr:cNvPr id="11472" name="Spinner 208" hidden="1">
              <a:extLst>
                <a:ext uri="{63B3BB69-23CF-44E3-9099-C40C66FF867C}">
                  <a14:compatExt spid="_x0000_s11472"/>
                </a:ext>
                <a:ext uri="{FF2B5EF4-FFF2-40B4-BE49-F238E27FC236}">
                  <a16:creationId xmlns:a16="http://schemas.microsoft.com/office/drawing/2014/main" id="{00000000-0008-0000-0700-0000D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47625</xdr:colOff>
          <xdr:row>123</xdr:row>
          <xdr:rowOff>57150</xdr:rowOff>
        </xdr:from>
        <xdr:to>
          <xdr:col>14</xdr:col>
          <xdr:colOff>466725</xdr:colOff>
          <xdr:row>123</xdr:row>
          <xdr:rowOff>695325</xdr:rowOff>
        </xdr:to>
        <xdr:sp macro="" textlink="">
          <xdr:nvSpPr>
            <xdr:cNvPr id="11473" name="Spinner 209" hidden="1">
              <a:extLst>
                <a:ext uri="{63B3BB69-23CF-44E3-9099-C40C66FF867C}">
                  <a14:compatExt spid="_x0000_s11473"/>
                </a:ext>
                <a:ext uri="{FF2B5EF4-FFF2-40B4-BE49-F238E27FC236}">
                  <a16:creationId xmlns:a16="http://schemas.microsoft.com/office/drawing/2014/main" id="{00000000-0008-0000-0700-0000D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47625</xdr:colOff>
          <xdr:row>124</xdr:row>
          <xdr:rowOff>57150</xdr:rowOff>
        </xdr:from>
        <xdr:to>
          <xdr:col>14</xdr:col>
          <xdr:colOff>466725</xdr:colOff>
          <xdr:row>124</xdr:row>
          <xdr:rowOff>695325</xdr:rowOff>
        </xdr:to>
        <xdr:sp macro="" textlink="">
          <xdr:nvSpPr>
            <xdr:cNvPr id="11474" name="Spinner 210" hidden="1">
              <a:extLst>
                <a:ext uri="{63B3BB69-23CF-44E3-9099-C40C66FF867C}">
                  <a14:compatExt spid="_x0000_s11474"/>
                </a:ext>
                <a:ext uri="{FF2B5EF4-FFF2-40B4-BE49-F238E27FC236}">
                  <a16:creationId xmlns:a16="http://schemas.microsoft.com/office/drawing/2014/main" id="{00000000-0008-0000-0700-0000D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47625</xdr:colOff>
          <xdr:row>125</xdr:row>
          <xdr:rowOff>47625</xdr:rowOff>
        </xdr:from>
        <xdr:to>
          <xdr:col>14</xdr:col>
          <xdr:colOff>466725</xdr:colOff>
          <xdr:row>125</xdr:row>
          <xdr:rowOff>685800</xdr:rowOff>
        </xdr:to>
        <xdr:sp macro="" textlink="">
          <xdr:nvSpPr>
            <xdr:cNvPr id="11475" name="Spinner 211" hidden="1">
              <a:extLst>
                <a:ext uri="{63B3BB69-23CF-44E3-9099-C40C66FF867C}">
                  <a14:compatExt spid="_x0000_s11475"/>
                </a:ext>
                <a:ext uri="{FF2B5EF4-FFF2-40B4-BE49-F238E27FC236}">
                  <a16:creationId xmlns:a16="http://schemas.microsoft.com/office/drawing/2014/main" id="{00000000-0008-0000-0700-0000D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47625</xdr:colOff>
          <xdr:row>126</xdr:row>
          <xdr:rowOff>66675</xdr:rowOff>
        </xdr:from>
        <xdr:to>
          <xdr:col>14</xdr:col>
          <xdr:colOff>466725</xdr:colOff>
          <xdr:row>126</xdr:row>
          <xdr:rowOff>704850</xdr:rowOff>
        </xdr:to>
        <xdr:sp macro="" textlink="">
          <xdr:nvSpPr>
            <xdr:cNvPr id="11476" name="Spinner 212" hidden="1">
              <a:extLst>
                <a:ext uri="{63B3BB69-23CF-44E3-9099-C40C66FF867C}">
                  <a14:compatExt spid="_x0000_s11476"/>
                </a:ext>
                <a:ext uri="{FF2B5EF4-FFF2-40B4-BE49-F238E27FC236}">
                  <a16:creationId xmlns:a16="http://schemas.microsoft.com/office/drawing/2014/main" id="{00000000-0008-0000-0700-0000D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57150</xdr:colOff>
          <xdr:row>127</xdr:row>
          <xdr:rowOff>66675</xdr:rowOff>
        </xdr:from>
        <xdr:to>
          <xdr:col>14</xdr:col>
          <xdr:colOff>476250</xdr:colOff>
          <xdr:row>127</xdr:row>
          <xdr:rowOff>704850</xdr:rowOff>
        </xdr:to>
        <xdr:sp macro="" textlink="">
          <xdr:nvSpPr>
            <xdr:cNvPr id="11477" name="Spinner 213" hidden="1">
              <a:extLst>
                <a:ext uri="{63B3BB69-23CF-44E3-9099-C40C66FF867C}">
                  <a14:compatExt spid="_x0000_s11477"/>
                </a:ext>
                <a:ext uri="{FF2B5EF4-FFF2-40B4-BE49-F238E27FC236}">
                  <a16:creationId xmlns:a16="http://schemas.microsoft.com/office/drawing/2014/main" id="{00000000-0008-0000-0700-0000D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38100</xdr:colOff>
          <xdr:row>128</xdr:row>
          <xdr:rowOff>66675</xdr:rowOff>
        </xdr:from>
        <xdr:to>
          <xdr:col>14</xdr:col>
          <xdr:colOff>457200</xdr:colOff>
          <xdr:row>128</xdr:row>
          <xdr:rowOff>704850</xdr:rowOff>
        </xdr:to>
        <xdr:sp macro="" textlink="">
          <xdr:nvSpPr>
            <xdr:cNvPr id="11478" name="Spinner 214" hidden="1">
              <a:extLst>
                <a:ext uri="{63B3BB69-23CF-44E3-9099-C40C66FF867C}">
                  <a14:compatExt spid="_x0000_s11478"/>
                </a:ext>
                <a:ext uri="{FF2B5EF4-FFF2-40B4-BE49-F238E27FC236}">
                  <a16:creationId xmlns:a16="http://schemas.microsoft.com/office/drawing/2014/main" id="{00000000-0008-0000-0700-0000D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28575</xdr:colOff>
          <xdr:row>121</xdr:row>
          <xdr:rowOff>28575</xdr:rowOff>
        </xdr:from>
        <xdr:to>
          <xdr:col>20</xdr:col>
          <xdr:colOff>0</xdr:colOff>
          <xdr:row>121</xdr:row>
          <xdr:rowOff>695325</xdr:rowOff>
        </xdr:to>
        <xdr:sp macro="" textlink="">
          <xdr:nvSpPr>
            <xdr:cNvPr id="11483" name="Spinner 219" hidden="1">
              <a:extLst>
                <a:ext uri="{63B3BB69-23CF-44E3-9099-C40C66FF867C}">
                  <a14:compatExt spid="_x0000_s11483"/>
                </a:ext>
                <a:ext uri="{FF2B5EF4-FFF2-40B4-BE49-F238E27FC236}">
                  <a16:creationId xmlns:a16="http://schemas.microsoft.com/office/drawing/2014/main" id="{00000000-0008-0000-0700-0000D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19050</xdr:colOff>
          <xdr:row>122</xdr:row>
          <xdr:rowOff>38100</xdr:rowOff>
        </xdr:from>
        <xdr:to>
          <xdr:col>20</xdr:col>
          <xdr:colOff>0</xdr:colOff>
          <xdr:row>122</xdr:row>
          <xdr:rowOff>714375</xdr:rowOff>
        </xdr:to>
        <xdr:sp macro="" textlink="">
          <xdr:nvSpPr>
            <xdr:cNvPr id="11484" name="Spinner 220" hidden="1">
              <a:extLst>
                <a:ext uri="{63B3BB69-23CF-44E3-9099-C40C66FF867C}">
                  <a14:compatExt spid="_x0000_s11484"/>
                </a:ext>
                <a:ext uri="{FF2B5EF4-FFF2-40B4-BE49-F238E27FC236}">
                  <a16:creationId xmlns:a16="http://schemas.microsoft.com/office/drawing/2014/main" id="{00000000-0008-0000-0700-0000D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19050</xdr:colOff>
          <xdr:row>123</xdr:row>
          <xdr:rowOff>0</xdr:rowOff>
        </xdr:from>
        <xdr:to>
          <xdr:col>20</xdr:col>
          <xdr:colOff>0</xdr:colOff>
          <xdr:row>123</xdr:row>
          <xdr:rowOff>714375</xdr:rowOff>
        </xdr:to>
        <xdr:sp macro="" textlink="">
          <xdr:nvSpPr>
            <xdr:cNvPr id="11485" name="Spinner 221" hidden="1">
              <a:extLst>
                <a:ext uri="{63B3BB69-23CF-44E3-9099-C40C66FF867C}">
                  <a14:compatExt spid="_x0000_s11485"/>
                </a:ext>
                <a:ext uri="{FF2B5EF4-FFF2-40B4-BE49-F238E27FC236}">
                  <a16:creationId xmlns:a16="http://schemas.microsoft.com/office/drawing/2014/main" id="{00000000-0008-0000-0700-0000D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28575</xdr:colOff>
          <xdr:row>127</xdr:row>
          <xdr:rowOff>38100</xdr:rowOff>
        </xdr:from>
        <xdr:to>
          <xdr:col>19</xdr:col>
          <xdr:colOff>781050</xdr:colOff>
          <xdr:row>127</xdr:row>
          <xdr:rowOff>628650</xdr:rowOff>
        </xdr:to>
        <xdr:sp macro="" textlink="">
          <xdr:nvSpPr>
            <xdr:cNvPr id="11486" name="Spinner 222" hidden="1">
              <a:extLst>
                <a:ext uri="{63B3BB69-23CF-44E3-9099-C40C66FF867C}">
                  <a14:compatExt spid="_x0000_s11486"/>
                </a:ext>
                <a:ext uri="{FF2B5EF4-FFF2-40B4-BE49-F238E27FC236}">
                  <a16:creationId xmlns:a16="http://schemas.microsoft.com/office/drawing/2014/main" id="{00000000-0008-0000-0700-0000D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28575</xdr:colOff>
          <xdr:row>158</xdr:row>
          <xdr:rowOff>38100</xdr:rowOff>
        </xdr:from>
        <xdr:to>
          <xdr:col>19</xdr:col>
          <xdr:colOff>781050</xdr:colOff>
          <xdr:row>158</xdr:row>
          <xdr:rowOff>628650</xdr:rowOff>
        </xdr:to>
        <xdr:sp macro="" textlink="">
          <xdr:nvSpPr>
            <xdr:cNvPr id="11487" name="Spinner 223" hidden="1">
              <a:extLst>
                <a:ext uri="{63B3BB69-23CF-44E3-9099-C40C66FF867C}">
                  <a14:compatExt spid="_x0000_s11487"/>
                </a:ext>
                <a:ext uri="{FF2B5EF4-FFF2-40B4-BE49-F238E27FC236}">
                  <a16:creationId xmlns:a16="http://schemas.microsoft.com/office/drawing/2014/main" id="{00000000-0008-0000-0700-0000D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47625</xdr:colOff>
          <xdr:row>188</xdr:row>
          <xdr:rowOff>76200</xdr:rowOff>
        </xdr:from>
        <xdr:to>
          <xdr:col>6</xdr:col>
          <xdr:colOff>447675</xdr:colOff>
          <xdr:row>188</xdr:row>
          <xdr:rowOff>685800</xdr:rowOff>
        </xdr:to>
        <xdr:sp macro="" textlink="">
          <xdr:nvSpPr>
            <xdr:cNvPr id="11488" name="Spinner 224" hidden="1">
              <a:extLst>
                <a:ext uri="{63B3BB69-23CF-44E3-9099-C40C66FF867C}">
                  <a14:compatExt spid="_x0000_s11488"/>
                </a:ext>
                <a:ext uri="{FF2B5EF4-FFF2-40B4-BE49-F238E27FC236}">
                  <a16:creationId xmlns:a16="http://schemas.microsoft.com/office/drawing/2014/main" id="{00000000-0008-0000-0700-0000E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47625</xdr:colOff>
          <xdr:row>187</xdr:row>
          <xdr:rowOff>76200</xdr:rowOff>
        </xdr:from>
        <xdr:to>
          <xdr:col>6</xdr:col>
          <xdr:colOff>428625</xdr:colOff>
          <xdr:row>187</xdr:row>
          <xdr:rowOff>685800</xdr:rowOff>
        </xdr:to>
        <xdr:sp macro="" textlink="">
          <xdr:nvSpPr>
            <xdr:cNvPr id="11489" name="Spinner 225" hidden="1">
              <a:extLst>
                <a:ext uri="{63B3BB69-23CF-44E3-9099-C40C66FF867C}">
                  <a14:compatExt spid="_x0000_s11489"/>
                </a:ext>
                <a:ext uri="{FF2B5EF4-FFF2-40B4-BE49-F238E27FC236}">
                  <a16:creationId xmlns:a16="http://schemas.microsoft.com/office/drawing/2014/main" id="{00000000-0008-0000-0700-0000E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186</xdr:row>
          <xdr:rowOff>66675</xdr:rowOff>
        </xdr:from>
        <xdr:to>
          <xdr:col>6</xdr:col>
          <xdr:colOff>438150</xdr:colOff>
          <xdr:row>186</xdr:row>
          <xdr:rowOff>676275</xdr:rowOff>
        </xdr:to>
        <xdr:sp macro="" textlink="">
          <xdr:nvSpPr>
            <xdr:cNvPr id="11490" name="Spinner 226" hidden="1">
              <a:extLst>
                <a:ext uri="{63B3BB69-23CF-44E3-9099-C40C66FF867C}">
                  <a14:compatExt spid="_x0000_s11490"/>
                </a:ext>
                <a:ext uri="{FF2B5EF4-FFF2-40B4-BE49-F238E27FC236}">
                  <a16:creationId xmlns:a16="http://schemas.microsoft.com/office/drawing/2014/main" id="{00000000-0008-0000-0700-0000E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</xdr:colOff>
          <xdr:row>185</xdr:row>
          <xdr:rowOff>66675</xdr:rowOff>
        </xdr:from>
        <xdr:to>
          <xdr:col>6</xdr:col>
          <xdr:colOff>428625</xdr:colOff>
          <xdr:row>185</xdr:row>
          <xdr:rowOff>676275</xdr:rowOff>
        </xdr:to>
        <xdr:sp macro="" textlink="">
          <xdr:nvSpPr>
            <xdr:cNvPr id="11491" name="Spinner 227" hidden="1">
              <a:extLst>
                <a:ext uri="{63B3BB69-23CF-44E3-9099-C40C66FF867C}">
                  <a14:compatExt spid="_x0000_s11491"/>
                </a:ext>
                <a:ext uri="{FF2B5EF4-FFF2-40B4-BE49-F238E27FC236}">
                  <a16:creationId xmlns:a16="http://schemas.microsoft.com/office/drawing/2014/main" id="{00000000-0008-0000-0700-0000E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47625</xdr:colOff>
          <xdr:row>184</xdr:row>
          <xdr:rowOff>47625</xdr:rowOff>
        </xdr:from>
        <xdr:to>
          <xdr:col>6</xdr:col>
          <xdr:colOff>447675</xdr:colOff>
          <xdr:row>184</xdr:row>
          <xdr:rowOff>657225</xdr:rowOff>
        </xdr:to>
        <xdr:sp macro="" textlink="">
          <xdr:nvSpPr>
            <xdr:cNvPr id="11492" name="Spinner 228" hidden="1">
              <a:extLst>
                <a:ext uri="{63B3BB69-23CF-44E3-9099-C40C66FF867C}">
                  <a14:compatExt spid="_x0000_s11492"/>
                </a:ext>
                <a:ext uri="{FF2B5EF4-FFF2-40B4-BE49-F238E27FC236}">
                  <a16:creationId xmlns:a16="http://schemas.microsoft.com/office/drawing/2014/main" id="{00000000-0008-0000-0700-0000E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66675</xdr:colOff>
          <xdr:row>183</xdr:row>
          <xdr:rowOff>47625</xdr:rowOff>
        </xdr:from>
        <xdr:to>
          <xdr:col>6</xdr:col>
          <xdr:colOff>447675</xdr:colOff>
          <xdr:row>183</xdr:row>
          <xdr:rowOff>723900</xdr:rowOff>
        </xdr:to>
        <xdr:sp macro="" textlink="">
          <xdr:nvSpPr>
            <xdr:cNvPr id="11493" name="Spinner 229" hidden="1">
              <a:extLst>
                <a:ext uri="{63B3BB69-23CF-44E3-9099-C40C66FF867C}">
                  <a14:compatExt spid="_x0000_s11493"/>
                </a:ext>
                <a:ext uri="{FF2B5EF4-FFF2-40B4-BE49-F238E27FC236}">
                  <a16:creationId xmlns:a16="http://schemas.microsoft.com/office/drawing/2014/main" id="{00000000-0008-0000-0700-0000E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47625</xdr:colOff>
          <xdr:row>182</xdr:row>
          <xdr:rowOff>57150</xdr:rowOff>
        </xdr:from>
        <xdr:to>
          <xdr:col>6</xdr:col>
          <xdr:colOff>447675</xdr:colOff>
          <xdr:row>182</xdr:row>
          <xdr:rowOff>733425</xdr:rowOff>
        </xdr:to>
        <xdr:sp macro="" textlink="">
          <xdr:nvSpPr>
            <xdr:cNvPr id="11494" name="Spinner 230" hidden="1">
              <a:extLst>
                <a:ext uri="{63B3BB69-23CF-44E3-9099-C40C66FF867C}">
                  <a14:compatExt spid="_x0000_s11494"/>
                </a:ext>
                <a:ext uri="{FF2B5EF4-FFF2-40B4-BE49-F238E27FC236}">
                  <a16:creationId xmlns:a16="http://schemas.microsoft.com/office/drawing/2014/main" id="{00000000-0008-0000-0700-0000E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181</xdr:row>
          <xdr:rowOff>19050</xdr:rowOff>
        </xdr:from>
        <xdr:to>
          <xdr:col>6</xdr:col>
          <xdr:colOff>438150</xdr:colOff>
          <xdr:row>181</xdr:row>
          <xdr:rowOff>695325</xdr:rowOff>
        </xdr:to>
        <xdr:sp macro="" textlink="">
          <xdr:nvSpPr>
            <xdr:cNvPr id="11495" name="Spinner 231" hidden="1">
              <a:extLst>
                <a:ext uri="{63B3BB69-23CF-44E3-9099-C40C66FF867C}">
                  <a14:compatExt spid="_x0000_s11495"/>
                </a:ext>
                <a:ext uri="{FF2B5EF4-FFF2-40B4-BE49-F238E27FC236}">
                  <a16:creationId xmlns:a16="http://schemas.microsoft.com/office/drawing/2014/main" id="{00000000-0008-0000-0700-0000E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</xdr:colOff>
          <xdr:row>181</xdr:row>
          <xdr:rowOff>0</xdr:rowOff>
        </xdr:from>
        <xdr:to>
          <xdr:col>10</xdr:col>
          <xdr:colOff>438150</xdr:colOff>
          <xdr:row>181</xdr:row>
          <xdr:rowOff>742950</xdr:rowOff>
        </xdr:to>
        <xdr:sp macro="" textlink="">
          <xdr:nvSpPr>
            <xdr:cNvPr id="11496" name="Spinner 232" hidden="1">
              <a:extLst>
                <a:ext uri="{63B3BB69-23CF-44E3-9099-C40C66FF867C}">
                  <a14:compatExt spid="_x0000_s11496"/>
                </a:ext>
                <a:ext uri="{FF2B5EF4-FFF2-40B4-BE49-F238E27FC236}">
                  <a16:creationId xmlns:a16="http://schemas.microsoft.com/office/drawing/2014/main" id="{00000000-0008-0000-0700-0000E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182</xdr:row>
          <xdr:rowOff>9525</xdr:rowOff>
        </xdr:from>
        <xdr:to>
          <xdr:col>10</xdr:col>
          <xdr:colOff>447675</xdr:colOff>
          <xdr:row>182</xdr:row>
          <xdr:rowOff>647700</xdr:rowOff>
        </xdr:to>
        <xdr:sp macro="" textlink="">
          <xdr:nvSpPr>
            <xdr:cNvPr id="11497" name="Spinner 233" hidden="1">
              <a:extLst>
                <a:ext uri="{63B3BB69-23CF-44E3-9099-C40C66FF867C}">
                  <a14:compatExt spid="_x0000_s11497"/>
                </a:ext>
                <a:ext uri="{FF2B5EF4-FFF2-40B4-BE49-F238E27FC236}">
                  <a16:creationId xmlns:a16="http://schemas.microsoft.com/office/drawing/2014/main" id="{00000000-0008-0000-0700-0000E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183</xdr:row>
          <xdr:rowOff>9525</xdr:rowOff>
        </xdr:from>
        <xdr:to>
          <xdr:col>10</xdr:col>
          <xdr:colOff>447675</xdr:colOff>
          <xdr:row>183</xdr:row>
          <xdr:rowOff>647700</xdr:rowOff>
        </xdr:to>
        <xdr:sp macro="" textlink="">
          <xdr:nvSpPr>
            <xdr:cNvPr id="11498" name="Spinner 234" hidden="1">
              <a:extLst>
                <a:ext uri="{63B3BB69-23CF-44E3-9099-C40C66FF867C}">
                  <a14:compatExt spid="_x0000_s11498"/>
                </a:ext>
                <a:ext uri="{FF2B5EF4-FFF2-40B4-BE49-F238E27FC236}">
                  <a16:creationId xmlns:a16="http://schemas.microsoft.com/office/drawing/2014/main" id="{00000000-0008-0000-0700-0000E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47625</xdr:colOff>
          <xdr:row>184</xdr:row>
          <xdr:rowOff>28575</xdr:rowOff>
        </xdr:from>
        <xdr:to>
          <xdr:col>10</xdr:col>
          <xdr:colOff>466725</xdr:colOff>
          <xdr:row>184</xdr:row>
          <xdr:rowOff>666750</xdr:rowOff>
        </xdr:to>
        <xdr:sp macro="" textlink="">
          <xdr:nvSpPr>
            <xdr:cNvPr id="11499" name="Spinner 235" hidden="1">
              <a:extLst>
                <a:ext uri="{63B3BB69-23CF-44E3-9099-C40C66FF867C}">
                  <a14:compatExt spid="_x0000_s11499"/>
                </a:ext>
                <a:ext uri="{FF2B5EF4-FFF2-40B4-BE49-F238E27FC236}">
                  <a16:creationId xmlns:a16="http://schemas.microsoft.com/office/drawing/2014/main" id="{00000000-0008-0000-0700-0000E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47625</xdr:colOff>
          <xdr:row>185</xdr:row>
          <xdr:rowOff>19050</xdr:rowOff>
        </xdr:from>
        <xdr:to>
          <xdr:col>10</xdr:col>
          <xdr:colOff>466725</xdr:colOff>
          <xdr:row>185</xdr:row>
          <xdr:rowOff>657225</xdr:rowOff>
        </xdr:to>
        <xdr:sp macro="" textlink="">
          <xdr:nvSpPr>
            <xdr:cNvPr id="11500" name="Spinner 236" hidden="1">
              <a:extLst>
                <a:ext uri="{63B3BB69-23CF-44E3-9099-C40C66FF867C}">
                  <a14:compatExt spid="_x0000_s11500"/>
                </a:ext>
                <a:ext uri="{FF2B5EF4-FFF2-40B4-BE49-F238E27FC236}">
                  <a16:creationId xmlns:a16="http://schemas.microsoft.com/office/drawing/2014/main" id="{00000000-0008-0000-0700-0000E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186</xdr:row>
          <xdr:rowOff>19050</xdr:rowOff>
        </xdr:from>
        <xdr:to>
          <xdr:col>10</xdr:col>
          <xdr:colOff>447675</xdr:colOff>
          <xdr:row>186</xdr:row>
          <xdr:rowOff>657225</xdr:rowOff>
        </xdr:to>
        <xdr:sp macro="" textlink="">
          <xdr:nvSpPr>
            <xdr:cNvPr id="11501" name="Spinner 237" hidden="1">
              <a:extLst>
                <a:ext uri="{63B3BB69-23CF-44E3-9099-C40C66FF867C}">
                  <a14:compatExt spid="_x0000_s11501"/>
                </a:ext>
                <a:ext uri="{FF2B5EF4-FFF2-40B4-BE49-F238E27FC236}">
                  <a16:creationId xmlns:a16="http://schemas.microsoft.com/office/drawing/2014/main" id="{00000000-0008-0000-0700-0000E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187</xdr:row>
          <xdr:rowOff>19050</xdr:rowOff>
        </xdr:from>
        <xdr:to>
          <xdr:col>10</xdr:col>
          <xdr:colOff>457200</xdr:colOff>
          <xdr:row>187</xdr:row>
          <xdr:rowOff>657225</xdr:rowOff>
        </xdr:to>
        <xdr:sp macro="" textlink="">
          <xdr:nvSpPr>
            <xdr:cNvPr id="11502" name="Spinner 238" hidden="1">
              <a:extLst>
                <a:ext uri="{63B3BB69-23CF-44E3-9099-C40C66FF867C}">
                  <a14:compatExt spid="_x0000_s11502"/>
                </a:ext>
                <a:ext uri="{FF2B5EF4-FFF2-40B4-BE49-F238E27FC236}">
                  <a16:creationId xmlns:a16="http://schemas.microsoft.com/office/drawing/2014/main" id="{00000000-0008-0000-0700-0000E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188</xdr:row>
          <xdr:rowOff>28575</xdr:rowOff>
        </xdr:from>
        <xdr:to>
          <xdr:col>10</xdr:col>
          <xdr:colOff>447675</xdr:colOff>
          <xdr:row>188</xdr:row>
          <xdr:rowOff>666750</xdr:rowOff>
        </xdr:to>
        <xdr:sp macro="" textlink="">
          <xdr:nvSpPr>
            <xdr:cNvPr id="11503" name="Spinner 239" hidden="1">
              <a:extLst>
                <a:ext uri="{63B3BB69-23CF-44E3-9099-C40C66FF867C}">
                  <a14:compatExt spid="_x0000_s11503"/>
                </a:ext>
                <a:ext uri="{FF2B5EF4-FFF2-40B4-BE49-F238E27FC236}">
                  <a16:creationId xmlns:a16="http://schemas.microsoft.com/office/drawing/2014/main" id="{00000000-0008-0000-0700-0000E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38100</xdr:colOff>
          <xdr:row>181</xdr:row>
          <xdr:rowOff>57150</xdr:rowOff>
        </xdr:from>
        <xdr:to>
          <xdr:col>14</xdr:col>
          <xdr:colOff>457200</xdr:colOff>
          <xdr:row>181</xdr:row>
          <xdr:rowOff>695325</xdr:rowOff>
        </xdr:to>
        <xdr:sp macro="" textlink="">
          <xdr:nvSpPr>
            <xdr:cNvPr id="11512" name="Spinner 248" hidden="1">
              <a:extLst>
                <a:ext uri="{63B3BB69-23CF-44E3-9099-C40C66FF867C}">
                  <a14:compatExt spid="_x0000_s11512"/>
                </a:ext>
                <a:ext uri="{FF2B5EF4-FFF2-40B4-BE49-F238E27FC236}">
                  <a16:creationId xmlns:a16="http://schemas.microsoft.com/office/drawing/2014/main" id="{00000000-0008-0000-0700-0000F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57150</xdr:colOff>
          <xdr:row>182</xdr:row>
          <xdr:rowOff>19050</xdr:rowOff>
        </xdr:from>
        <xdr:to>
          <xdr:col>14</xdr:col>
          <xdr:colOff>476250</xdr:colOff>
          <xdr:row>182</xdr:row>
          <xdr:rowOff>657225</xdr:rowOff>
        </xdr:to>
        <xdr:sp macro="" textlink="">
          <xdr:nvSpPr>
            <xdr:cNvPr id="11513" name="Spinner 249" hidden="1">
              <a:extLst>
                <a:ext uri="{63B3BB69-23CF-44E3-9099-C40C66FF867C}">
                  <a14:compatExt spid="_x0000_s11513"/>
                </a:ext>
                <a:ext uri="{FF2B5EF4-FFF2-40B4-BE49-F238E27FC236}">
                  <a16:creationId xmlns:a16="http://schemas.microsoft.com/office/drawing/2014/main" id="{00000000-0008-0000-0700-0000F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47625</xdr:colOff>
          <xdr:row>183</xdr:row>
          <xdr:rowOff>28575</xdr:rowOff>
        </xdr:from>
        <xdr:to>
          <xdr:col>14</xdr:col>
          <xdr:colOff>466725</xdr:colOff>
          <xdr:row>183</xdr:row>
          <xdr:rowOff>666750</xdr:rowOff>
        </xdr:to>
        <xdr:sp macro="" textlink="">
          <xdr:nvSpPr>
            <xdr:cNvPr id="11514" name="Spinner 250" hidden="1">
              <a:extLst>
                <a:ext uri="{63B3BB69-23CF-44E3-9099-C40C66FF867C}">
                  <a14:compatExt spid="_x0000_s11514"/>
                </a:ext>
                <a:ext uri="{FF2B5EF4-FFF2-40B4-BE49-F238E27FC236}">
                  <a16:creationId xmlns:a16="http://schemas.microsoft.com/office/drawing/2014/main" id="{00000000-0008-0000-0700-0000F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38100</xdr:colOff>
          <xdr:row>184</xdr:row>
          <xdr:rowOff>28575</xdr:rowOff>
        </xdr:from>
        <xdr:to>
          <xdr:col>14</xdr:col>
          <xdr:colOff>457200</xdr:colOff>
          <xdr:row>184</xdr:row>
          <xdr:rowOff>666750</xdr:rowOff>
        </xdr:to>
        <xdr:sp macro="" textlink="">
          <xdr:nvSpPr>
            <xdr:cNvPr id="11515" name="Spinner 251" hidden="1">
              <a:extLst>
                <a:ext uri="{63B3BB69-23CF-44E3-9099-C40C66FF867C}">
                  <a14:compatExt spid="_x0000_s11515"/>
                </a:ext>
                <a:ext uri="{FF2B5EF4-FFF2-40B4-BE49-F238E27FC236}">
                  <a16:creationId xmlns:a16="http://schemas.microsoft.com/office/drawing/2014/main" id="{00000000-0008-0000-0700-0000F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47625</xdr:colOff>
          <xdr:row>185</xdr:row>
          <xdr:rowOff>19050</xdr:rowOff>
        </xdr:from>
        <xdr:to>
          <xdr:col>14</xdr:col>
          <xdr:colOff>466725</xdr:colOff>
          <xdr:row>185</xdr:row>
          <xdr:rowOff>657225</xdr:rowOff>
        </xdr:to>
        <xdr:sp macro="" textlink="">
          <xdr:nvSpPr>
            <xdr:cNvPr id="11516" name="Spinner 252" hidden="1">
              <a:extLst>
                <a:ext uri="{63B3BB69-23CF-44E3-9099-C40C66FF867C}">
                  <a14:compatExt spid="_x0000_s11516"/>
                </a:ext>
                <a:ext uri="{FF2B5EF4-FFF2-40B4-BE49-F238E27FC236}">
                  <a16:creationId xmlns:a16="http://schemas.microsoft.com/office/drawing/2014/main" id="{00000000-0008-0000-0700-0000F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47625</xdr:colOff>
          <xdr:row>186</xdr:row>
          <xdr:rowOff>28575</xdr:rowOff>
        </xdr:from>
        <xdr:to>
          <xdr:col>14</xdr:col>
          <xdr:colOff>466725</xdr:colOff>
          <xdr:row>186</xdr:row>
          <xdr:rowOff>666750</xdr:rowOff>
        </xdr:to>
        <xdr:sp macro="" textlink="">
          <xdr:nvSpPr>
            <xdr:cNvPr id="11517" name="Spinner 253" hidden="1">
              <a:extLst>
                <a:ext uri="{63B3BB69-23CF-44E3-9099-C40C66FF867C}">
                  <a14:compatExt spid="_x0000_s11517"/>
                </a:ext>
                <a:ext uri="{FF2B5EF4-FFF2-40B4-BE49-F238E27FC236}">
                  <a16:creationId xmlns:a16="http://schemas.microsoft.com/office/drawing/2014/main" id="{00000000-0008-0000-0700-0000F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47625</xdr:colOff>
          <xdr:row>187</xdr:row>
          <xdr:rowOff>28575</xdr:rowOff>
        </xdr:from>
        <xdr:to>
          <xdr:col>14</xdr:col>
          <xdr:colOff>466725</xdr:colOff>
          <xdr:row>187</xdr:row>
          <xdr:rowOff>666750</xdr:rowOff>
        </xdr:to>
        <xdr:sp macro="" textlink="">
          <xdr:nvSpPr>
            <xdr:cNvPr id="11518" name="Spinner 254" hidden="1">
              <a:extLst>
                <a:ext uri="{63B3BB69-23CF-44E3-9099-C40C66FF867C}">
                  <a14:compatExt spid="_x0000_s11518"/>
                </a:ext>
                <a:ext uri="{FF2B5EF4-FFF2-40B4-BE49-F238E27FC236}">
                  <a16:creationId xmlns:a16="http://schemas.microsoft.com/office/drawing/2014/main" id="{00000000-0008-0000-0700-0000F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47625</xdr:colOff>
          <xdr:row>188</xdr:row>
          <xdr:rowOff>28575</xdr:rowOff>
        </xdr:from>
        <xdr:to>
          <xdr:col>14</xdr:col>
          <xdr:colOff>466725</xdr:colOff>
          <xdr:row>188</xdr:row>
          <xdr:rowOff>666750</xdr:rowOff>
        </xdr:to>
        <xdr:sp macro="" textlink="">
          <xdr:nvSpPr>
            <xdr:cNvPr id="11519" name="Spinner 255" hidden="1">
              <a:extLst>
                <a:ext uri="{63B3BB69-23CF-44E3-9099-C40C66FF867C}">
                  <a14:compatExt spid="_x0000_s11519"/>
                </a:ext>
                <a:ext uri="{FF2B5EF4-FFF2-40B4-BE49-F238E27FC236}">
                  <a16:creationId xmlns:a16="http://schemas.microsoft.com/office/drawing/2014/main" id="{00000000-0008-0000-0700-0000F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28575</xdr:colOff>
          <xdr:row>181</xdr:row>
          <xdr:rowOff>28575</xdr:rowOff>
        </xdr:from>
        <xdr:to>
          <xdr:col>19</xdr:col>
          <xdr:colOff>752475</xdr:colOff>
          <xdr:row>181</xdr:row>
          <xdr:rowOff>723900</xdr:rowOff>
        </xdr:to>
        <xdr:sp macro="" textlink="">
          <xdr:nvSpPr>
            <xdr:cNvPr id="11520" name="Spinner 256" hidden="1">
              <a:extLst>
                <a:ext uri="{63B3BB69-23CF-44E3-9099-C40C66FF867C}">
                  <a14:compatExt spid="_x0000_s11520"/>
                </a:ext>
                <a:ext uri="{FF2B5EF4-FFF2-40B4-BE49-F238E27FC236}">
                  <a16:creationId xmlns:a16="http://schemas.microsoft.com/office/drawing/2014/main" id="{00000000-0008-0000-0700-000000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19050</xdr:colOff>
          <xdr:row>182</xdr:row>
          <xdr:rowOff>9525</xdr:rowOff>
        </xdr:from>
        <xdr:to>
          <xdr:col>20</xdr:col>
          <xdr:colOff>0</xdr:colOff>
          <xdr:row>182</xdr:row>
          <xdr:rowOff>685800</xdr:rowOff>
        </xdr:to>
        <xdr:sp macro="" textlink="">
          <xdr:nvSpPr>
            <xdr:cNvPr id="11521" name="Spinner 257" hidden="1">
              <a:extLst>
                <a:ext uri="{63B3BB69-23CF-44E3-9099-C40C66FF867C}">
                  <a14:compatExt spid="_x0000_s11521"/>
                </a:ext>
                <a:ext uri="{FF2B5EF4-FFF2-40B4-BE49-F238E27FC236}">
                  <a16:creationId xmlns:a16="http://schemas.microsoft.com/office/drawing/2014/main" id="{00000000-0008-0000-0700-000001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19050</xdr:colOff>
          <xdr:row>183</xdr:row>
          <xdr:rowOff>19050</xdr:rowOff>
        </xdr:from>
        <xdr:to>
          <xdr:col>20</xdr:col>
          <xdr:colOff>0</xdr:colOff>
          <xdr:row>184</xdr:row>
          <xdr:rowOff>38100</xdr:rowOff>
        </xdr:to>
        <xdr:sp macro="" textlink="">
          <xdr:nvSpPr>
            <xdr:cNvPr id="11522" name="Spinner 258" hidden="1">
              <a:extLst>
                <a:ext uri="{63B3BB69-23CF-44E3-9099-C40C66FF867C}">
                  <a14:compatExt spid="_x0000_s11522"/>
                </a:ext>
                <a:ext uri="{FF2B5EF4-FFF2-40B4-BE49-F238E27FC236}">
                  <a16:creationId xmlns:a16="http://schemas.microsoft.com/office/drawing/2014/main" id="{00000000-0008-0000-0700-000002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28575</xdr:colOff>
          <xdr:row>187</xdr:row>
          <xdr:rowOff>38100</xdr:rowOff>
        </xdr:from>
        <xdr:to>
          <xdr:col>19</xdr:col>
          <xdr:colOff>781050</xdr:colOff>
          <xdr:row>187</xdr:row>
          <xdr:rowOff>628650</xdr:rowOff>
        </xdr:to>
        <xdr:sp macro="" textlink="">
          <xdr:nvSpPr>
            <xdr:cNvPr id="11523" name="Spinner 259" hidden="1">
              <a:extLst>
                <a:ext uri="{63B3BB69-23CF-44E3-9099-C40C66FF867C}">
                  <a14:compatExt spid="_x0000_s11523"/>
                </a:ext>
                <a:ext uri="{FF2B5EF4-FFF2-40B4-BE49-F238E27FC236}">
                  <a16:creationId xmlns:a16="http://schemas.microsoft.com/office/drawing/2014/main" id="{00000000-0008-0000-0700-000003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1381124</xdr:colOff>
      <xdr:row>18</xdr:row>
      <xdr:rowOff>0</xdr:rowOff>
    </xdr:from>
    <xdr:to>
      <xdr:col>33</xdr:col>
      <xdr:colOff>514349</xdr:colOff>
      <xdr:row>37</xdr:row>
      <xdr:rowOff>170050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0FE505-A8A7-D6F1-BBCD-78EEDBB91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5674" y="4933950"/>
          <a:ext cx="7229475" cy="5599300"/>
        </a:xfrm>
        <a:prstGeom prst="rect">
          <a:avLst/>
        </a:prstGeom>
      </xdr:spPr>
    </xdr:pic>
    <xdr:clientData/>
  </xdr:twoCellAnchor>
  <xdr:twoCellAnchor editAs="oneCell">
    <xdr:from>
      <xdr:col>33</xdr:col>
      <xdr:colOff>647699</xdr:colOff>
      <xdr:row>19</xdr:row>
      <xdr:rowOff>0</xdr:rowOff>
    </xdr:from>
    <xdr:to>
      <xdr:col>50</xdr:col>
      <xdr:colOff>295177</xdr:colOff>
      <xdr:row>34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17628C-646B-00FA-84F0-9B997F43C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78499" y="5219700"/>
          <a:ext cx="12415741" cy="44577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ber\Downloads\KPI%20dashboard%20(2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ber\Downloads\KPI%20dashboard%20(2)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ber\Downloads\KPI%20dashboard%20(2)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29.571088078701" createdVersion="8" refreshedVersion="8" minRefreshableVersion="3" recordCount="156" xr:uid="{33128184-D2DD-40C8-9D6E-9A5863221F29}">
  <cacheSource type="worksheet">
    <worksheetSource ref="V1:Y157" sheet="WPay Data Analysis" r:id="rId2"/>
  </cacheSource>
  <cacheFields count="4">
    <cacheField name="KPI" numFmtId="0">
      <sharedItems containsBlank="1" count="14">
        <s v="Merchant Count"/>
        <s v="Turnover in '000"/>
        <s v="Avg. Ticket size"/>
        <s v="Gross Margin %"/>
        <s v="Avg Sales Bps - Ex GST (Excluding Deliverit MOR)"/>
        <s v="Avg Sales Bps - Ex GST (MoR)"/>
        <s v="Margin in Bps - Ex GST"/>
        <s v="Total cost bps - Ex GST"/>
        <s v="Amex cost in Bps - Ex GST"/>
        <s v="Eftpos cost in Bps"/>
        <s v="MC &amp; VS cost in Bps - Ex GST"/>
        <s v="MSF Revenue Ex GST in '000"/>
        <s v="Cost in '000 Ex GST"/>
        <m u="1"/>
      </sharedItems>
    </cacheField>
    <cacheField name="Measures" numFmtId="0">
      <sharedItems containsString="0" containsBlank="1" containsNumber="1" minValue="0.23" maxValue="48189.8"/>
    </cacheField>
    <cacheField name="Month" numFmtId="0">
      <sharedItems containsBlank="1" count="13">
        <s v="25 - Feb 25"/>
        <s v="25 - Jan 25"/>
        <s v="24 - Dec 24"/>
        <s v="23 - Nov 24"/>
        <s v="22 - Oct 24"/>
        <s v="21 - Sept 24"/>
        <s v="20 - Aug 24"/>
        <s v="19 - Jul 24"/>
        <s v="18 - Jun 24"/>
        <s v="17 - May 24"/>
        <s v="16 - Apr 24"/>
        <s v="15 - Mar 24"/>
        <m u="1"/>
      </sharedItems>
    </cacheField>
    <cacheField name="Display" numFmtId="0">
      <sharedItems containsBlank="1" count="3">
        <s v="Yes"/>
        <s v="No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dley Hamilton" refreshedDate="45729.629688310182" createdVersion="8" refreshedVersion="8" minRefreshableVersion="3" recordCount="198" xr:uid="{5802455B-DEFA-4C22-8B5E-691E8827866E}">
  <cacheSource type="worksheet">
    <worksheetSource ref="D1:G199" sheet="Total Data Analysis" r:id="rId2"/>
  </cacheSource>
  <cacheFields count="4">
    <cacheField name="KPI" numFmtId="0">
      <sharedItems count="18">
        <s v="Merchant Count"/>
        <s v="Turnover in '000"/>
        <s v="Avg. Ticket size"/>
        <s v="Gross Margin %"/>
        <s v="Avg Sales Bps - Ex GST (Excluding Deliverit MOR)"/>
        <s v="Avg Sales Bps - Ex GST (MoR)"/>
        <s v="Avg Sales Bps"/>
        <s v="Avg Sales in BPs - EX GST"/>
        <s v="Margin in Bps - Ex GST"/>
        <s v="Total cost Bps - Ex GST"/>
        <s v="Amex cost in Bps - Ex GST"/>
        <s v="Eftpos cost in Bps"/>
        <s v="MC &amp; VS cost in Bps - Ex GST"/>
        <s v="MSF Revenue Ex GST in '000"/>
        <s v="Cost in '000 Ex GST"/>
        <s v="WPAY %"/>
        <s v="ADYEN %"/>
        <s v="MOR % of WPAY"/>
      </sharedItems>
    </cacheField>
    <cacheField name="Measures" numFmtId="0">
      <sharedItems containsSemiMixedTypes="0" containsString="0" containsNumber="1" minValue="0.1497" maxValue="261032.8"/>
    </cacheField>
    <cacheField name="Month" numFmtId="0">
      <sharedItems count="11">
        <s v="26 - Feb 25"/>
        <s v="25 - Jan 25"/>
        <s v="24 - Dec 24"/>
        <s v="23 - Nov 24"/>
        <s v="22 - Oct 24"/>
        <s v="21 - Sept 24"/>
        <s v="20 - Aug 24"/>
        <s v="19 - Jul 24"/>
        <s v="18 - Jun 24"/>
        <s v="17 - May 24"/>
        <s v="16 - Apr 24"/>
      </sharedItems>
    </cacheField>
    <cacheField name="Display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dley Hamilton" refreshedDate="45729.614455439812" createdVersion="8" refreshedVersion="8" minRefreshableVersion="3" recordCount="782" xr:uid="{D8A69919-5FDE-4A91-8DA0-B8CA7EDBA1E0}">
  <cacheSource type="worksheet">
    <worksheetSource name="DataTable" r:id="rId2"/>
  </cacheSource>
  <cacheFields count="6">
    <cacheField name="Data Point" numFmtId="0">
      <sharedItems containsBlank="1" count="42">
        <s v="Transaction Fees"/>
        <s v="Authorised fees - Austhorised"/>
        <s v="Authorised fees - refused"/>
        <s v="Commission Amex"/>
        <s v="Comission Other"/>
        <s v="Interchange MC + Visa"/>
        <s v="Interchange Eftpos_australia"/>
        <s v="Commission"/>
        <s v="Scheme fees Visa + master"/>
        <s v="Scheme fees  EftPOS"/>
        <s v="Amex cost in Bps - Ex GST"/>
        <s v="MC &amp; VS cost in Bps - Ex GST"/>
        <s v="Eftpos cost in Bps"/>
        <s v="Total cost Bps - Ex GST"/>
        <s v="-"/>
        <s v="Gross Margin %"/>
        <s v="Avg. Ticket size"/>
        <s v="Turnover in '000"/>
        <s v="Merchant Count"/>
        <s v="Avg Sales Bps"/>
        <s v="MSF Revenue Ex GST in '000"/>
        <s v="Cost in '000 Ex GST"/>
        <s v="Margin in Bps - Ex GST"/>
        <m u="1"/>
        <s v="Commission Amex (convert to AUD)" u="1"/>
        <s v="Commission cup, Alipay, Wechatpay" u="1"/>
        <s v="Interchange issuing" u="1"/>
        <s v="Interchange issuing Eftpos_australia" u="1"/>
        <s v="Commission (processing fees)" u="1"/>
        <s v="Scheme fees Visa + master - EftPOS" u="1"/>
        <s v="Amex cost Bps" u="1"/>
        <s v="Others cost Bps" u="1"/>
        <s v="EftPos cost Bps" u="1"/>
        <s v="Total cost Bps" u="1"/>
        <s v="Gross Margin" u="1"/>
        <s v="Turnover" u="1"/>
        <s v="MSF Revenue Ex GST" u="1"/>
        <s v="Cost in Ex GST" u="1"/>
        <s v="Margin in Bps" u="1"/>
        <s v="MC &amp; VS cost bps" u="1"/>
        <s v="Interchange MC + Visa Eftpos_australia" u="1"/>
        <s v="MC &amp; CS cost bps" u="1"/>
      </sharedItems>
    </cacheField>
    <cacheField name="Acquirer" numFmtId="0">
      <sharedItems count="1">
        <s v="Adyen"/>
      </sharedItems>
    </cacheField>
    <cacheField name="Month" numFmtId="0">
      <sharedItems containsDate="1" containsMixedTypes="1" minDate="2023-02-14T00:00:00" maxDate="2023-12-13T00:00:00" count="44">
        <s v="38 - Feb 25"/>
        <s v="37 - Jan 25"/>
        <s v="36 - Dec 24"/>
        <s v="35 - Nov 24"/>
        <s v="34 - Oct 24"/>
        <s v="33 - Sept 24"/>
        <s v="32 - Aug 24"/>
        <s v="31 - Jul 24"/>
        <s v="30 - Jun 24"/>
        <s v="29 - May 24"/>
        <s v="28 - Apr 24"/>
        <s v="27 - Mar 24"/>
        <s v="26 - Feb 24"/>
        <s v="25 - Jan 24"/>
        <s v="23 - Dec 23"/>
        <s v="22 - Nov 23"/>
        <s v="21 - Oct 23"/>
        <s v="20 - Sept 23"/>
        <s v="19- Aug 23"/>
        <s v="18- Jul 23"/>
        <s v="17- Jun 23"/>
        <s v="16- May 23"/>
        <s v="16- Apr 23"/>
        <s v="15- Mar 23"/>
        <s v="14- Feb 23"/>
        <s v="13- Jan 23"/>
        <d v="2023-12-12T00:00:00"/>
        <s v="11 Nov"/>
        <s v="10 Oct"/>
        <s v="09 Sep"/>
        <s v="08 Aug"/>
        <s v="07 July"/>
        <s v="06 June"/>
        <s v="05 May"/>
        <s v="35 - Dec 24" u="1"/>
        <s v="35 - December 24" u="1"/>
        <s v="35 - November 24" u="1"/>
        <s v="34 - October 24" u="1"/>
        <s v="33 - September 24" u="1"/>
        <s v="32 - August 24" u="1"/>
        <s v="31 - July 24" u="1"/>
        <d v="2023-06-17T00:00:00" u="1"/>
        <d v="2023-02-14T00:00:00" u="1"/>
        <d v="2023-04-16T00:00:00" u="1"/>
      </sharedItems>
    </cacheField>
    <cacheField name="KPI" numFmtId="0">
      <sharedItems containsMixedTypes="1" containsNumber="1" minValue="5.0190007174217059E-2" maxValue="12140.2918300087" count="23">
        <s v="No"/>
        <s v="NA"/>
        <s v="Yes"/>
        <n v="1.6499996731166102" u="1"/>
        <n v="7.9999994242328468E-2" u="1"/>
        <n v="169.47602727272701" u="1"/>
        <n v="0.24970736261011262" u="1"/>
        <n v="0.32037237898951293" u="1"/>
        <n v="0.99586689726800048" u="1"/>
        <n v="1.3943220034641417" u="1"/>
        <n v="0.44231557984360659" u="1"/>
        <n v="0.13668376429735693" u="1"/>
        <n v="0.61667010867630667" u="1"/>
        <n v="26.432048041609676" u="1"/>
        <n v="160" u="1"/>
        <n v="1.783498280634549" u="1"/>
        <n v="5.0190007174217059E-2" u="1"/>
        <n v="1.39418581840221" u="1"/>
        <n v="0.1134985830563474" u="1"/>
        <n v="0.5326609328976204" u="1"/>
        <n v="0.77751570972590334" u="1"/>
        <n v="94.514139999999998" u="1"/>
        <n v="12140.2918300087" u="1"/>
      </sharedItems>
    </cacheField>
    <cacheField name="Amount" numFmtId="0">
      <sharedItems containsBlank="1" containsMixedTypes="1" containsNumber="1" minValue="0" maxValue="212843"/>
    </cacheField>
    <cacheField name="Display" numFmtId="43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n v="265"/>
    <x v="0"/>
    <x v="0"/>
  </r>
  <r>
    <x v="1"/>
    <n v="39794.800000000003"/>
    <x v="0"/>
    <x v="0"/>
  </r>
  <r>
    <x v="2"/>
    <n v="30.86"/>
    <x v="0"/>
    <x v="0"/>
  </r>
  <r>
    <x v="3"/>
    <n v="0.53500000000000003"/>
    <x v="0"/>
    <x v="0"/>
  </r>
  <r>
    <x v="4"/>
    <n v="1.3"/>
    <x v="0"/>
    <x v="0"/>
  </r>
  <r>
    <x v="5"/>
    <n v="1"/>
    <x v="0"/>
    <x v="0"/>
  </r>
  <r>
    <x v="6"/>
    <n v="0.72"/>
    <x v="0"/>
    <x v="0"/>
  </r>
  <r>
    <x v="7"/>
    <n v="0.57999999999999996"/>
    <x v="0"/>
    <x v="0"/>
  </r>
  <r>
    <x v="8"/>
    <n v="1.6"/>
    <x v="0"/>
    <x v="0"/>
  </r>
  <r>
    <x v="9"/>
    <n v="0.25"/>
    <x v="0"/>
    <x v="0"/>
  </r>
  <r>
    <x v="10"/>
    <n v="0.71"/>
    <x v="0"/>
    <x v="0"/>
  </r>
  <r>
    <x v="11"/>
    <n v="494.5"/>
    <x v="0"/>
    <x v="0"/>
  </r>
  <r>
    <x v="12"/>
    <n v="230.2"/>
    <x v="0"/>
    <x v="0"/>
  </r>
  <r>
    <x v="0"/>
    <n v="258"/>
    <x v="1"/>
    <x v="0"/>
  </r>
  <r>
    <x v="1"/>
    <n v="43444.1"/>
    <x v="1"/>
    <x v="0"/>
  </r>
  <r>
    <x v="2"/>
    <n v="32.869999999999997"/>
    <x v="1"/>
    <x v="0"/>
  </r>
  <r>
    <x v="3"/>
    <n v="0.52200000000000002"/>
    <x v="1"/>
    <x v="0"/>
  </r>
  <r>
    <x v="4"/>
    <n v="1.29"/>
    <x v="1"/>
    <x v="0"/>
  </r>
  <r>
    <x v="5"/>
    <n v="1"/>
    <x v="1"/>
    <x v="0"/>
  </r>
  <r>
    <x v="6"/>
    <n v="0.7"/>
    <x v="1"/>
    <x v="0"/>
  </r>
  <r>
    <x v="7"/>
    <n v="0.59"/>
    <x v="1"/>
    <x v="0"/>
  </r>
  <r>
    <x v="8"/>
    <n v="1.59"/>
    <x v="1"/>
    <x v="0"/>
  </r>
  <r>
    <x v="9"/>
    <n v="0.28000000000000003"/>
    <x v="1"/>
    <x v="0"/>
  </r>
  <r>
    <x v="10"/>
    <n v="0.71"/>
    <x v="1"/>
    <x v="0"/>
  </r>
  <r>
    <x v="11"/>
    <n v="537.5"/>
    <x v="1"/>
    <x v="0"/>
  </r>
  <r>
    <x v="12"/>
    <n v="257"/>
    <x v="1"/>
    <x v="0"/>
  </r>
  <r>
    <x v="0"/>
    <n v="252"/>
    <x v="2"/>
    <x v="0"/>
  </r>
  <r>
    <x v="1"/>
    <n v="48189.8"/>
    <x v="2"/>
    <x v="0"/>
  </r>
  <r>
    <x v="2"/>
    <n v="34.99"/>
    <x v="2"/>
    <x v="0"/>
  </r>
  <r>
    <x v="3"/>
    <n v="0.55500000000000005"/>
    <x v="2"/>
    <x v="0"/>
  </r>
  <r>
    <x v="4"/>
    <n v="1.3"/>
    <x v="2"/>
    <x v="0"/>
  </r>
  <r>
    <x v="5"/>
    <n v="1"/>
    <x v="2"/>
    <x v="0"/>
  </r>
  <r>
    <x v="6"/>
    <n v="0.74"/>
    <x v="2"/>
    <x v="0"/>
  </r>
  <r>
    <x v="7"/>
    <n v="0.56000000000000005"/>
    <x v="2"/>
    <x v="0"/>
  </r>
  <r>
    <x v="8"/>
    <n v="1.59"/>
    <x v="2"/>
    <x v="0"/>
  </r>
  <r>
    <x v="9"/>
    <n v="0.23"/>
    <x v="2"/>
    <x v="0"/>
  </r>
  <r>
    <x v="10"/>
    <n v="0.69"/>
    <x v="2"/>
    <x v="0"/>
  </r>
  <r>
    <x v="11"/>
    <n v="600.79999999999995"/>
    <x v="2"/>
    <x v="0"/>
  </r>
  <r>
    <x v="12"/>
    <n v="267.3"/>
    <x v="2"/>
    <x v="0"/>
  </r>
  <r>
    <x v="0"/>
    <n v="236"/>
    <x v="3"/>
    <x v="0"/>
  </r>
  <r>
    <x v="1"/>
    <n v="41614.9"/>
    <x v="3"/>
    <x v="0"/>
  </r>
  <r>
    <x v="2"/>
    <n v="32.020000000000003"/>
    <x v="3"/>
    <x v="0"/>
  </r>
  <r>
    <x v="3"/>
    <n v="0.55200000000000005"/>
    <x v="3"/>
    <x v="0"/>
  </r>
  <r>
    <x v="4"/>
    <n v="1.3"/>
    <x v="3"/>
    <x v="0"/>
  </r>
  <r>
    <x v="5"/>
    <n v="1"/>
    <x v="3"/>
    <x v="0"/>
  </r>
  <r>
    <x v="6"/>
    <n v="0.75"/>
    <x v="3"/>
    <x v="0"/>
  </r>
  <r>
    <x v="7"/>
    <n v="0.55000000000000004"/>
    <x v="3"/>
    <x v="0"/>
  </r>
  <r>
    <x v="8"/>
    <n v="1.59"/>
    <x v="3"/>
    <x v="0"/>
  </r>
  <r>
    <x v="9"/>
    <n v="0.25"/>
    <x v="3"/>
    <x v="0"/>
  </r>
  <r>
    <x v="10"/>
    <n v="0.67"/>
    <x v="3"/>
    <x v="0"/>
  </r>
  <r>
    <x v="11"/>
    <n v="514.70000000000005"/>
    <x v="3"/>
    <x v="0"/>
  </r>
  <r>
    <x v="12"/>
    <n v="230.5"/>
    <x v="3"/>
    <x v="0"/>
  </r>
  <r>
    <x v="0"/>
    <n v="225"/>
    <x v="4"/>
    <x v="0"/>
  </r>
  <r>
    <x v="1"/>
    <n v="36703.4"/>
    <x v="4"/>
    <x v="0"/>
  </r>
  <r>
    <x v="2"/>
    <n v="31.62"/>
    <x v="4"/>
    <x v="0"/>
  </r>
  <r>
    <x v="3"/>
    <n v="0.55800000000000005"/>
    <x v="4"/>
    <x v="0"/>
  </r>
  <r>
    <x v="4"/>
    <n v="1.32"/>
    <x v="4"/>
    <x v="0"/>
  </r>
  <r>
    <x v="5"/>
    <n v="1"/>
    <x v="4"/>
    <x v="0"/>
  </r>
  <r>
    <x v="6"/>
    <n v="0.77"/>
    <x v="4"/>
    <x v="0"/>
  </r>
  <r>
    <x v="7"/>
    <n v="0.55000000000000004"/>
    <x v="4"/>
    <x v="0"/>
  </r>
  <r>
    <x v="8"/>
    <n v="1.61"/>
    <x v="4"/>
    <x v="0"/>
  </r>
  <r>
    <x v="9"/>
    <n v="0.25"/>
    <x v="4"/>
    <x v="0"/>
  </r>
  <r>
    <x v="10"/>
    <n v="0.67"/>
    <x v="4"/>
    <x v="0"/>
  </r>
  <r>
    <x v="11"/>
    <n v="456.4"/>
    <x v="4"/>
    <x v="0"/>
  </r>
  <r>
    <x v="12"/>
    <n v="201.5"/>
    <x v="4"/>
    <x v="0"/>
  </r>
  <r>
    <x v="0"/>
    <n v="203"/>
    <x v="5"/>
    <x v="0"/>
  </r>
  <r>
    <x v="1"/>
    <n v="30143.200000000001"/>
    <x v="5"/>
    <x v="0"/>
  </r>
  <r>
    <x v="2"/>
    <n v="32.1"/>
    <x v="5"/>
    <x v="0"/>
  </r>
  <r>
    <x v="3"/>
    <n v="0.57099999999999995"/>
    <x v="5"/>
    <x v="0"/>
  </r>
  <r>
    <x v="4"/>
    <n v="1.34"/>
    <x v="5"/>
    <x v="0"/>
  </r>
  <r>
    <x v="5"/>
    <n v="1"/>
    <x v="5"/>
    <x v="0"/>
  </r>
  <r>
    <x v="6"/>
    <n v="0.8"/>
    <x v="5"/>
    <x v="0"/>
  </r>
  <r>
    <x v="7"/>
    <n v="0.54"/>
    <x v="5"/>
    <x v="0"/>
  </r>
  <r>
    <x v="8"/>
    <n v="1.64"/>
    <x v="5"/>
    <x v="0"/>
  </r>
  <r>
    <x v="9"/>
    <n v="0.25"/>
    <x v="5"/>
    <x v="0"/>
  </r>
  <r>
    <x v="10"/>
    <n v="0.64"/>
    <x v="5"/>
    <x v="0"/>
  </r>
  <r>
    <x v="11"/>
    <n v="376.3"/>
    <x v="5"/>
    <x v="0"/>
  </r>
  <r>
    <x v="12"/>
    <n v="161.30000000000001"/>
    <x v="5"/>
    <x v="0"/>
  </r>
  <r>
    <x v="0"/>
    <n v="178"/>
    <x v="6"/>
    <x v="1"/>
  </r>
  <r>
    <x v="1"/>
    <n v="27792.799999999999"/>
    <x v="6"/>
    <x v="1"/>
  </r>
  <r>
    <x v="2"/>
    <n v="30.81"/>
    <x v="6"/>
    <x v="1"/>
  </r>
  <r>
    <x v="3"/>
    <n v="0.56899999999999995"/>
    <x v="6"/>
    <x v="1"/>
  </r>
  <r>
    <x v="4"/>
    <n v="1.35"/>
    <x v="6"/>
    <x v="1"/>
  </r>
  <r>
    <x v="5"/>
    <n v="1"/>
    <x v="6"/>
    <x v="1"/>
  </r>
  <r>
    <x v="6"/>
    <n v="0.77"/>
    <x v="6"/>
    <x v="1"/>
  </r>
  <r>
    <x v="7"/>
    <n v="0.54"/>
    <x v="6"/>
    <x v="1"/>
  </r>
  <r>
    <x v="8"/>
    <n v="1.67"/>
    <x v="6"/>
    <x v="1"/>
  </r>
  <r>
    <x v="9"/>
    <n v="0.26"/>
    <x v="6"/>
    <x v="1"/>
  </r>
  <r>
    <x v="10"/>
    <n v="0.64"/>
    <x v="6"/>
    <x v="1"/>
  </r>
  <r>
    <x v="11"/>
    <n v="344.4"/>
    <x v="6"/>
    <x v="1"/>
  </r>
  <r>
    <x v="12"/>
    <n v="148.30000000000001"/>
    <x v="6"/>
    <x v="1"/>
  </r>
  <r>
    <x v="0"/>
    <n v="151"/>
    <x v="7"/>
    <x v="1"/>
  </r>
  <r>
    <x v="1"/>
    <n v="23470.6"/>
    <x v="7"/>
    <x v="1"/>
  </r>
  <r>
    <x v="2"/>
    <n v="31.35"/>
    <x v="7"/>
    <x v="1"/>
  </r>
  <r>
    <x v="3"/>
    <n v="0.55600000000000005"/>
    <x v="7"/>
    <x v="1"/>
  </r>
  <r>
    <x v="4"/>
    <n v="1.34"/>
    <x v="7"/>
    <x v="1"/>
  </r>
  <r>
    <x v="5"/>
    <n v="1"/>
    <x v="7"/>
    <x v="1"/>
  </r>
  <r>
    <x v="6"/>
    <n v="0.76"/>
    <x v="7"/>
    <x v="1"/>
  </r>
  <r>
    <x v="7"/>
    <n v="0.57999999999999996"/>
    <x v="7"/>
    <x v="1"/>
  </r>
  <r>
    <x v="8"/>
    <n v="1.67"/>
    <x v="7"/>
    <x v="1"/>
  </r>
  <r>
    <x v="9"/>
    <n v="0.26"/>
    <x v="7"/>
    <x v="1"/>
  </r>
  <r>
    <x v="10"/>
    <n v="0.63"/>
    <x v="7"/>
    <x v="1"/>
  </r>
  <r>
    <x v="11"/>
    <n v="288.10000000000002"/>
    <x v="7"/>
    <x v="1"/>
  </r>
  <r>
    <x v="12"/>
    <n v="128"/>
    <x v="7"/>
    <x v="1"/>
  </r>
  <r>
    <x v="0"/>
    <n v="128"/>
    <x v="8"/>
    <x v="1"/>
  </r>
  <r>
    <x v="1"/>
    <n v="21451.4"/>
    <x v="8"/>
    <x v="1"/>
  </r>
  <r>
    <x v="2"/>
    <n v="32.299999999999997"/>
    <x v="8"/>
    <x v="1"/>
  </r>
  <r>
    <x v="3"/>
    <n v="0.54600000000000004"/>
    <x v="8"/>
    <x v="1"/>
  </r>
  <r>
    <x v="4"/>
    <n v="1.34"/>
    <x v="8"/>
    <x v="1"/>
  </r>
  <r>
    <x v="5"/>
    <n v="1"/>
    <x v="8"/>
    <x v="1"/>
  </r>
  <r>
    <x v="6"/>
    <n v="0.75"/>
    <x v="8"/>
    <x v="1"/>
  </r>
  <r>
    <x v="7"/>
    <n v="0.59"/>
    <x v="8"/>
    <x v="1"/>
  </r>
  <r>
    <x v="8"/>
    <n v="1.65"/>
    <x v="8"/>
    <x v="1"/>
  </r>
  <r>
    <x v="9"/>
    <n v="0.26"/>
    <x v="8"/>
    <x v="1"/>
  </r>
  <r>
    <x v="10"/>
    <n v="0.62"/>
    <x v="8"/>
    <x v="1"/>
  </r>
  <r>
    <x v="11"/>
    <n v="259.39999999999998"/>
    <x v="8"/>
    <x v="1"/>
  </r>
  <r>
    <x v="12"/>
    <n v="117.7"/>
    <x v="8"/>
    <x v="1"/>
  </r>
  <r>
    <x v="0"/>
    <n v="105"/>
    <x v="9"/>
    <x v="1"/>
  </r>
  <r>
    <x v="1"/>
    <n v="18616"/>
    <x v="9"/>
    <x v="1"/>
  </r>
  <r>
    <x v="2"/>
    <n v="31.73"/>
    <x v="9"/>
    <x v="1"/>
  </r>
  <r>
    <x v="3"/>
    <n v="0.53"/>
    <x v="9"/>
    <x v="1"/>
  </r>
  <r>
    <x v="4"/>
    <n v="1.32"/>
    <x v="9"/>
    <x v="1"/>
  </r>
  <r>
    <x v="5"/>
    <n v="1"/>
    <x v="9"/>
    <x v="1"/>
  </r>
  <r>
    <x v="6"/>
    <n v="0.71"/>
    <x v="9"/>
    <x v="1"/>
  </r>
  <r>
    <x v="7"/>
    <n v="0.61"/>
    <x v="9"/>
    <x v="1"/>
  </r>
  <r>
    <x v="8"/>
    <n v="1.64"/>
    <x v="9"/>
    <x v="1"/>
  </r>
  <r>
    <x v="9"/>
    <n v="0.28000000000000003"/>
    <x v="9"/>
    <x v="1"/>
  </r>
  <r>
    <x v="10"/>
    <n v="0.62"/>
    <x v="9"/>
    <x v="1"/>
  </r>
  <r>
    <x v="11"/>
    <n v="220.7"/>
    <x v="9"/>
    <x v="1"/>
  </r>
  <r>
    <x v="12"/>
    <n v="103.7"/>
    <x v="9"/>
    <x v="1"/>
  </r>
  <r>
    <x v="0"/>
    <n v="83"/>
    <x v="10"/>
    <x v="1"/>
  </r>
  <r>
    <x v="1"/>
    <n v="15680.3"/>
    <x v="10"/>
    <x v="1"/>
  </r>
  <r>
    <x v="2"/>
    <n v="34.14"/>
    <x v="10"/>
    <x v="1"/>
  </r>
  <r>
    <x v="3"/>
    <n v="0.52500000000000002"/>
    <x v="10"/>
    <x v="1"/>
  </r>
  <r>
    <x v="4"/>
    <n v="1.3"/>
    <x v="10"/>
    <x v="1"/>
  </r>
  <r>
    <x v="5"/>
    <n v="1"/>
    <x v="10"/>
    <x v="1"/>
  </r>
  <r>
    <x v="6"/>
    <n v="0.61"/>
    <x v="10"/>
    <x v="1"/>
  </r>
  <r>
    <x v="7"/>
    <n v="0.55000000000000004"/>
    <x v="10"/>
    <x v="1"/>
  </r>
  <r>
    <x v="8"/>
    <n v="1.65"/>
    <x v="10"/>
    <x v="1"/>
  </r>
  <r>
    <x v="9"/>
    <n v="0.26"/>
    <x v="10"/>
    <x v="1"/>
  </r>
  <r>
    <x v="10"/>
    <n v="0.62"/>
    <x v="10"/>
    <x v="1"/>
  </r>
  <r>
    <x v="11"/>
    <n v="183.1"/>
    <x v="10"/>
    <x v="1"/>
  </r>
  <r>
    <x v="12"/>
    <n v="87"/>
    <x v="10"/>
    <x v="1"/>
  </r>
  <r>
    <x v="0"/>
    <n v="62"/>
    <x v="11"/>
    <x v="1"/>
  </r>
  <r>
    <x v="1"/>
    <n v="10345.799999999999"/>
    <x v="11"/>
    <x v="1"/>
  </r>
  <r>
    <x v="2"/>
    <n v="30.87"/>
    <x v="11"/>
    <x v="1"/>
  </r>
  <r>
    <x v="3"/>
    <n v="0.53"/>
    <x v="11"/>
    <x v="1"/>
  </r>
  <r>
    <x v="4"/>
    <n v="1.25"/>
    <x v="11"/>
    <x v="1"/>
  </r>
  <r>
    <x v="5"/>
    <m/>
    <x v="11"/>
    <x v="1"/>
  </r>
  <r>
    <x v="6"/>
    <n v="0.66"/>
    <x v="11"/>
    <x v="1"/>
  </r>
  <r>
    <x v="7"/>
    <n v="0.59"/>
    <x v="11"/>
    <x v="1"/>
  </r>
  <r>
    <x v="8"/>
    <n v="1.65"/>
    <x v="11"/>
    <x v="1"/>
  </r>
  <r>
    <x v="9"/>
    <n v="0.25"/>
    <x v="11"/>
    <x v="1"/>
  </r>
  <r>
    <x v="10"/>
    <n v="0.71"/>
    <x v="11"/>
    <x v="1"/>
  </r>
  <r>
    <x v="11"/>
    <n v="129.4"/>
    <x v="11"/>
    <x v="1"/>
  </r>
  <r>
    <x v="12"/>
    <n v="60.7"/>
    <x v="1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x v="0"/>
    <n v="1865"/>
    <x v="0"/>
    <x v="0"/>
  </r>
  <r>
    <x v="1"/>
    <n v="219503.8"/>
    <x v="0"/>
    <x v="0"/>
  </r>
  <r>
    <x v="2"/>
    <n v="33.103250880392444"/>
    <x v="0"/>
    <x v="0"/>
  </r>
  <r>
    <x v="3"/>
    <n v="0.47359714743451325"/>
    <x v="0"/>
    <x v="0"/>
  </r>
  <r>
    <x v="4"/>
    <n v="1.3"/>
    <x v="0"/>
    <x v="1"/>
  </r>
  <r>
    <x v="5"/>
    <n v="1"/>
    <x v="0"/>
    <x v="1"/>
  </r>
  <r>
    <x v="6"/>
    <n v="1.45"/>
    <x v="0"/>
    <x v="1"/>
  </r>
  <r>
    <x v="7"/>
    <n v="1.3972938426593584"/>
    <x v="0"/>
    <x v="0"/>
  </r>
  <r>
    <x v="8"/>
    <n v="0.68725181196507368"/>
    <x v="0"/>
    <x v="0"/>
  </r>
  <r>
    <x v="9"/>
    <n v="0.73555389316589959"/>
    <x v="0"/>
    <x v="0"/>
  </r>
  <r>
    <x v="10"/>
    <n v="1.7391797991484366"/>
    <x v="0"/>
    <x v="0"/>
  </r>
  <r>
    <x v="11"/>
    <n v="0.28274818803492618"/>
    <x v="0"/>
    <x v="0"/>
  </r>
  <r>
    <x v="12"/>
    <n v="0.89830208120082577"/>
    <x v="0"/>
    <x v="0"/>
  </r>
  <r>
    <x v="13"/>
    <n v="3106.57"/>
    <x v="0"/>
    <x v="0"/>
  </r>
  <r>
    <x v="14"/>
    <n v="1632.78"/>
    <x v="0"/>
    <x v="0"/>
  </r>
  <r>
    <x v="15"/>
    <n v="0.18129529912684386"/>
    <x v="0"/>
    <x v="1"/>
  </r>
  <r>
    <x v="16"/>
    <n v="0.81870470087315605"/>
    <x v="0"/>
    <x v="1"/>
  </r>
  <r>
    <x v="17"/>
    <n v="0.19455130297792639"/>
    <x v="0"/>
    <x v="1"/>
  </r>
  <r>
    <x v="0"/>
    <n v="1691"/>
    <x v="1"/>
    <x v="0"/>
  </r>
  <r>
    <x v="1"/>
    <n v="235419.1"/>
    <x v="1"/>
    <x v="0"/>
  </r>
  <r>
    <x v="2"/>
    <n v="34.859723273916991"/>
    <x v="1"/>
    <x v="0"/>
  </r>
  <r>
    <x v="3"/>
    <n v="0.47959606137553967"/>
    <x v="1"/>
    <x v="0"/>
  </r>
  <r>
    <x v="4"/>
    <n v="1.29"/>
    <x v="1"/>
    <x v="1"/>
  </r>
  <r>
    <x v="5"/>
    <n v="1"/>
    <x v="1"/>
    <x v="1"/>
  </r>
  <r>
    <x v="6"/>
    <n v="1.45"/>
    <x v="1"/>
    <x v="1"/>
  </r>
  <r>
    <x v="7"/>
    <n v="1.3964609781435715"/>
    <x v="1"/>
    <x v="0"/>
  </r>
  <r>
    <x v="8"/>
    <n v="0.68369079283674616"/>
    <x v="1"/>
    <x v="0"/>
  </r>
  <r>
    <x v="9"/>
    <n v="0.73678286446928576"/>
    <x v="1"/>
    <x v="0"/>
  </r>
  <r>
    <x v="10"/>
    <n v="1.7286282608876589"/>
    <x v="1"/>
    <x v="0"/>
  </r>
  <r>
    <x v="11"/>
    <n v="0.28000000000000003"/>
    <x v="1"/>
    <x v="0"/>
  </r>
  <r>
    <x v="12"/>
    <n v="0.88940127879579389"/>
    <x v="1"/>
    <x v="0"/>
  </r>
  <r>
    <x v="13"/>
    <n v="3312.65"/>
    <x v="1"/>
    <x v="0"/>
  </r>
  <r>
    <x v="14"/>
    <n v="1735.07"/>
    <x v="1"/>
    <x v="0"/>
  </r>
  <r>
    <x v="15"/>
    <n v="0.18453964183730123"/>
    <x v="1"/>
    <x v="1"/>
  </r>
  <r>
    <x v="16"/>
    <n v="0.8154603581626988"/>
    <x v="1"/>
    <x v="1"/>
  </r>
  <r>
    <x v="17"/>
    <n v="0.19605850116884962"/>
    <x v="1"/>
    <x v="1"/>
  </r>
  <r>
    <x v="0"/>
    <n v="1661"/>
    <x v="2"/>
    <x v="0"/>
  </r>
  <r>
    <x v="1"/>
    <n v="261032.8"/>
    <x v="2"/>
    <x v="0"/>
  </r>
  <r>
    <x v="2"/>
    <n v="37.597162000000004"/>
    <x v="2"/>
    <x v="0"/>
  </r>
  <r>
    <x v="3"/>
    <n v="0.48596300000000003"/>
    <x v="2"/>
    <x v="0"/>
  </r>
  <r>
    <x v="4"/>
    <n v="1.3"/>
    <x v="2"/>
    <x v="1"/>
  </r>
  <r>
    <x v="5"/>
    <n v="1"/>
    <x v="2"/>
    <x v="1"/>
  </r>
  <r>
    <x v="6"/>
    <n v="1.45"/>
    <x v="2"/>
    <x v="1"/>
  </r>
  <r>
    <x v="7"/>
    <n v="1.3977093704233419"/>
    <x v="2"/>
    <x v="0"/>
  </r>
  <r>
    <x v="8"/>
    <n v="0.69938999999999996"/>
    <x v="2"/>
    <x v="0"/>
  </r>
  <r>
    <x v="9"/>
    <n v="0.72244000000000008"/>
    <x v="2"/>
    <x v="0"/>
  </r>
  <r>
    <x v="10"/>
    <n v="1.7280740000000001"/>
    <x v="2"/>
    <x v="0"/>
  </r>
  <r>
    <x v="11"/>
    <n v="0.25436600000000004"/>
    <x v="2"/>
    <x v="0"/>
  </r>
  <r>
    <x v="12"/>
    <n v="0.86056200000000005"/>
    <x v="2"/>
    <x v="0"/>
  </r>
  <r>
    <x v="13"/>
    <n v="3687.1099999999997"/>
    <x v="2"/>
    <x v="0"/>
  </r>
  <r>
    <x v="14"/>
    <n v="1887.82"/>
    <x v="2"/>
    <x v="0"/>
  </r>
  <r>
    <x v="15"/>
    <n v="0.18779999999999999"/>
    <x v="2"/>
    <x v="1"/>
  </r>
  <r>
    <x v="16"/>
    <n v="0.81220000000000003"/>
    <x v="2"/>
    <x v="1"/>
  </r>
  <r>
    <x v="17"/>
    <n v="0.21123139969132732"/>
    <x v="2"/>
    <x v="1"/>
  </r>
  <r>
    <x v="0"/>
    <n v="1599"/>
    <x v="3"/>
    <x v="0"/>
  </r>
  <r>
    <x v="1"/>
    <n v="221574.9"/>
    <x v="3"/>
    <x v="0"/>
  </r>
  <r>
    <x v="2"/>
    <n v="33.628156000000004"/>
    <x v="3"/>
    <x v="0"/>
  </r>
  <r>
    <x v="3"/>
    <n v="0.4935216"/>
    <x v="3"/>
    <x v="0"/>
  </r>
  <r>
    <x v="4"/>
    <n v="1.3"/>
    <x v="3"/>
    <x v="1"/>
  </r>
  <r>
    <x v="5"/>
    <n v="1"/>
    <x v="3"/>
    <x v="1"/>
  </r>
  <r>
    <x v="6"/>
    <n v="1.45"/>
    <x v="3"/>
    <x v="1"/>
  </r>
  <r>
    <x v="7"/>
    <n v="1.3977093704233419"/>
    <x v="3"/>
    <x v="0"/>
  </r>
  <r>
    <x v="8"/>
    <n v="0.70938999999999997"/>
    <x v="3"/>
    <x v="0"/>
  </r>
  <r>
    <x v="9"/>
    <n v="0.71244000000000007"/>
    <x v="3"/>
    <x v="0"/>
  </r>
  <r>
    <x v="10"/>
    <n v="1.7361960000000001"/>
    <x v="3"/>
    <x v="0"/>
  </r>
  <r>
    <x v="11"/>
    <n v="0.27436600000000005"/>
    <x v="3"/>
    <x v="0"/>
  </r>
  <r>
    <x v="12"/>
    <n v="0.85680600000000007"/>
    <x v="3"/>
    <x v="0"/>
  </r>
  <r>
    <x v="13"/>
    <n v="3127.5699999999997"/>
    <x v="3"/>
    <x v="0"/>
  </r>
  <r>
    <x v="14"/>
    <n v="1595.92"/>
    <x v="3"/>
    <x v="0"/>
  </r>
  <r>
    <x v="15"/>
    <n v="0.18779999999999999"/>
    <x v="3"/>
    <x v="1"/>
  </r>
  <r>
    <x v="16"/>
    <n v="0.81220000000000003"/>
    <x v="3"/>
    <x v="1"/>
  </r>
  <r>
    <x v="17"/>
    <n v="0.21123139969132732"/>
    <x v="3"/>
    <x v="1"/>
  </r>
  <r>
    <x v="0"/>
    <n v="1468"/>
    <x v="4"/>
    <x v="0"/>
  </r>
  <r>
    <x v="1"/>
    <n v="195356.4"/>
    <x v="4"/>
    <x v="0"/>
  </r>
  <r>
    <x v="2"/>
    <n v="32.196590999999998"/>
    <x v="4"/>
    <x v="0"/>
  </r>
  <r>
    <x v="3"/>
    <n v="0.49465619999999999"/>
    <x v="4"/>
    <x v="0"/>
  </r>
  <r>
    <x v="4"/>
    <n v="1.32"/>
    <x v="4"/>
    <x v="1"/>
  </r>
  <r>
    <x v="5"/>
    <n v="1"/>
    <x v="4"/>
    <x v="1"/>
  </r>
  <r>
    <x v="6"/>
    <n v="1.44"/>
    <x v="4"/>
    <x v="1"/>
  </r>
  <r>
    <x v="7"/>
    <n v="1.392386641489002"/>
    <x v="4"/>
    <x v="0"/>
  </r>
  <r>
    <x v="8"/>
    <n v="0.71315300000000004"/>
    <x v="4"/>
    <x v="0"/>
  </r>
  <r>
    <x v="9"/>
    <n v="0.71242000000000005"/>
    <x v="4"/>
    <x v="0"/>
  </r>
  <r>
    <x v="10"/>
    <n v="1.748057"/>
    <x v="4"/>
    <x v="0"/>
  </r>
  <r>
    <x v="11"/>
    <n v="0.28248400000000001"/>
    <x v="4"/>
    <x v="0"/>
  </r>
  <r>
    <x v="12"/>
    <n v="0.84866200000000003"/>
    <x v="4"/>
    <x v="0"/>
  </r>
  <r>
    <x v="13"/>
    <n v="2748.76"/>
    <x v="4"/>
    <x v="0"/>
  </r>
  <r>
    <x v="14"/>
    <n v="1399.23"/>
    <x v="4"/>
    <x v="0"/>
  </r>
  <r>
    <x v="15"/>
    <n v="0.18790000000000001"/>
    <x v="5"/>
    <x v="1"/>
  </r>
  <r>
    <x v="16"/>
    <n v="0.81210000000000004"/>
    <x v="5"/>
    <x v="1"/>
  </r>
  <r>
    <x v="17"/>
    <n v="0.22977794472888438"/>
    <x v="5"/>
    <x v="1"/>
  </r>
  <r>
    <x v="0"/>
    <n v="1397"/>
    <x v="5"/>
    <x v="0"/>
  </r>
  <r>
    <x v="1"/>
    <n v="178675.20000000001"/>
    <x v="5"/>
    <x v="0"/>
  </r>
  <r>
    <x v="2"/>
    <n v="32.582154000000003"/>
    <x v="5"/>
    <x v="0"/>
  </r>
  <r>
    <x v="3"/>
    <n v="0.50366469999999997"/>
    <x v="5"/>
    <x v="0"/>
  </r>
  <r>
    <x v="4"/>
    <n v="1.34"/>
    <x v="5"/>
    <x v="1"/>
  </r>
  <r>
    <x v="5"/>
    <n v="1"/>
    <x v="5"/>
    <x v="1"/>
  </r>
  <r>
    <x v="6"/>
    <n v="1.44"/>
    <x v="5"/>
    <x v="1"/>
  </r>
  <r>
    <x v="7"/>
    <n v="1.4045926214126498"/>
    <x v="5"/>
    <x v="0"/>
  </r>
  <r>
    <x v="8"/>
    <n v="0.72518300000000002"/>
    <x v="5"/>
    <x v="0"/>
  </r>
  <r>
    <x v="9"/>
    <n v="0.69794699999999998"/>
    <x v="5"/>
    <x v="0"/>
  </r>
  <r>
    <x v="10"/>
    <n v="1.7563820000000001"/>
    <x v="5"/>
    <x v="0"/>
  </r>
  <r>
    <x v="11"/>
    <n v="0.27493900000000004"/>
    <x v="5"/>
    <x v="0"/>
  </r>
  <r>
    <x v="12"/>
    <n v="0.83119900000000002"/>
    <x v="5"/>
    <x v="0"/>
  </r>
  <r>
    <x v="13"/>
    <n v="2511.9900000000002"/>
    <x v="5"/>
    <x v="0"/>
  </r>
  <r>
    <x v="14"/>
    <n v="1250.33"/>
    <x v="5"/>
    <x v="0"/>
  </r>
  <r>
    <x v="15"/>
    <n v="0.16869999999999999"/>
    <x v="5"/>
    <x v="1"/>
  </r>
  <r>
    <x v="16"/>
    <n v="0.83130000000000004"/>
    <x v="5"/>
    <x v="1"/>
  </r>
  <r>
    <x v="17"/>
    <n v="0.27681499999999998"/>
    <x v="5"/>
    <x v="1"/>
  </r>
  <r>
    <x v="0"/>
    <n v="1350"/>
    <x v="6"/>
    <x v="1"/>
  </r>
  <r>
    <x v="1"/>
    <n v="172338.8"/>
    <x v="6"/>
    <x v="1"/>
  </r>
  <r>
    <x v="2"/>
    <n v="32.051276000000001"/>
    <x v="6"/>
    <x v="1"/>
  </r>
  <r>
    <x v="3"/>
    <n v="0.50274269999999999"/>
    <x v="6"/>
    <x v="1"/>
  </r>
  <r>
    <x v="4"/>
    <n v="1.35"/>
    <x v="6"/>
    <x v="1"/>
  </r>
  <r>
    <x v="5"/>
    <n v="1"/>
    <x v="6"/>
    <x v="1"/>
  </r>
  <r>
    <x v="6"/>
    <n v="1.45"/>
    <x v="6"/>
    <x v="1"/>
  </r>
  <r>
    <x v="7"/>
    <n v="1.4207709600164589"/>
    <x v="6"/>
    <x v="1"/>
  </r>
  <r>
    <x v="8"/>
    <n v="0.72806499999999996"/>
    <x v="6"/>
    <x v="1"/>
  </r>
  <r>
    <x v="9"/>
    <n v="0.699353"/>
    <x v="6"/>
    <x v="1"/>
  </r>
  <r>
    <x v="10"/>
    <n v="1.75387"/>
    <x v="6"/>
    <x v="1"/>
  </r>
  <r>
    <x v="11"/>
    <n v="0.285161"/>
    <x v="6"/>
    <x v="1"/>
  </r>
  <r>
    <x v="12"/>
    <n v="0.84128800000000004"/>
    <x v="6"/>
    <x v="1"/>
  </r>
  <r>
    <x v="13"/>
    <n v="2648.21"/>
    <x v="6"/>
    <x v="1"/>
  </r>
  <r>
    <x v="14"/>
    <n v="1214.08"/>
    <x v="6"/>
    <x v="1"/>
  </r>
  <r>
    <x v="15"/>
    <n v="0.1613"/>
    <x v="6"/>
    <x v="1"/>
  </r>
  <r>
    <x v="16"/>
    <n v="0.8387"/>
    <x v="6"/>
    <x v="1"/>
  </r>
  <r>
    <x v="17"/>
    <n v="0.32048506575958646"/>
    <x v="6"/>
    <x v="1"/>
  </r>
  <r>
    <x v="0"/>
    <n v="1175"/>
    <x v="7"/>
    <x v="1"/>
  </r>
  <r>
    <x v="1"/>
    <n v="147242.6"/>
    <x v="7"/>
    <x v="1"/>
  </r>
  <r>
    <x v="2"/>
    <n v="31.585367999999999"/>
    <x v="7"/>
    <x v="1"/>
  </r>
  <r>
    <x v="3"/>
    <n v="0.49211440000000001"/>
    <x v="7"/>
    <x v="1"/>
  </r>
  <r>
    <x v="4"/>
    <n v="1.34"/>
    <x v="7"/>
    <x v="1"/>
  </r>
  <r>
    <x v="5"/>
    <n v="1"/>
    <x v="7"/>
    <x v="1"/>
  </r>
  <r>
    <x v="6"/>
    <n v="1.43"/>
    <x v="7"/>
    <x v="1"/>
  </r>
  <r>
    <x v="7"/>
    <n v="1.407039646493"/>
    <x v="7"/>
    <x v="1"/>
  </r>
  <r>
    <x v="8"/>
    <n v="0.70956399999999997"/>
    <x v="7"/>
    <x v="1"/>
  </r>
  <r>
    <x v="9"/>
    <n v="0.69768399999999997"/>
    <x v="7"/>
    <x v="1"/>
  </r>
  <r>
    <x v="10"/>
    <n v="1.7624660000000001"/>
    <x v="7"/>
    <x v="1"/>
  </r>
  <r>
    <x v="11"/>
    <n v="0.28521799999999997"/>
    <x v="7"/>
    <x v="1"/>
  </r>
  <r>
    <x v="12"/>
    <n v="0.82333800000000001"/>
    <x v="7"/>
    <x v="1"/>
  </r>
  <r>
    <x v="13"/>
    <n v="2057.66"/>
    <x v="7"/>
    <x v="1"/>
  </r>
  <r>
    <x v="14"/>
    <n v="1044.4000000000001"/>
    <x v="7"/>
    <x v="1"/>
  </r>
  <r>
    <x v="15"/>
    <n v="0.15939999999999999"/>
    <x v="7"/>
    <x v="1"/>
  </r>
  <r>
    <x v="16"/>
    <n v="0.84060000000000001"/>
    <x v="7"/>
    <x v="1"/>
  </r>
  <r>
    <x v="17"/>
    <n v="0.34018276433514766"/>
    <x v="7"/>
    <x v="1"/>
  </r>
  <r>
    <x v="0"/>
    <n v="1064"/>
    <x v="8"/>
    <x v="1"/>
  </r>
  <r>
    <x v="1"/>
    <n v="132392.4"/>
    <x v="8"/>
    <x v="1"/>
  </r>
  <r>
    <x v="2"/>
    <n v="31.755299999999998"/>
    <x v="8"/>
    <x v="1"/>
  </r>
  <r>
    <x v="3"/>
    <n v="0.49069200000000002"/>
    <x v="8"/>
    <x v="1"/>
  </r>
  <r>
    <x v="4"/>
    <n v="1.34"/>
    <x v="8"/>
    <x v="1"/>
  </r>
  <r>
    <x v="5"/>
    <n v="1"/>
    <x v="8"/>
    <x v="1"/>
  </r>
  <r>
    <x v="6"/>
    <n v="1.44"/>
    <x v="8"/>
    <x v="1"/>
  </r>
  <r>
    <x v="7"/>
    <n v="1.4199872753293608"/>
    <x v="8"/>
    <x v="1"/>
  </r>
  <r>
    <x v="8"/>
    <n v="0.70809999999999995"/>
    <x v="8"/>
    <x v="1"/>
  </r>
  <r>
    <x v="9"/>
    <n v="0.7157"/>
    <x v="8"/>
    <x v="1"/>
  </r>
  <r>
    <x v="10"/>
    <n v="1.7589399999999999"/>
    <x v="8"/>
    <x v="1"/>
  </r>
  <r>
    <x v="11"/>
    <n v="0.28514"/>
    <x v="8"/>
    <x v="1"/>
  </r>
  <r>
    <x v="12"/>
    <n v="0.83787999999999996"/>
    <x v="8"/>
    <x v="1"/>
  </r>
  <r>
    <x v="13"/>
    <n v="2016.17"/>
    <x v="8"/>
    <x v="1"/>
  </r>
  <r>
    <x v="14"/>
    <n v="944.35"/>
    <x v="8"/>
    <x v="1"/>
  </r>
  <r>
    <x v="15"/>
    <n v="0.16200000000000001"/>
    <x v="8"/>
    <x v="1"/>
  </r>
  <r>
    <x v="16"/>
    <n v="0.83799999999999997"/>
    <x v="8"/>
    <x v="1"/>
  </r>
  <r>
    <x v="17"/>
    <n v="0.3776427953781834"/>
    <x v="8"/>
    <x v="1"/>
  </r>
  <r>
    <x v="0"/>
    <n v="1060"/>
    <x v="9"/>
    <x v="1"/>
  </r>
  <r>
    <x v="1"/>
    <n v="121734"/>
    <x v="9"/>
    <x v="1"/>
  </r>
  <r>
    <x v="2"/>
    <n v="30.798189999999998"/>
    <x v="9"/>
    <x v="1"/>
  </r>
  <r>
    <x v="3"/>
    <n v="0.47917399999999999"/>
    <x v="9"/>
    <x v="1"/>
  </r>
  <r>
    <x v="4"/>
    <n v="1.32"/>
    <x v="9"/>
    <x v="1"/>
  </r>
  <r>
    <x v="5"/>
    <n v="1"/>
    <x v="9"/>
    <x v="1"/>
  </r>
  <r>
    <x v="6"/>
    <n v="1.43"/>
    <x v="9"/>
    <x v="1"/>
  </r>
  <r>
    <x v="7"/>
    <n v="1.4190880553871792"/>
    <x v="9"/>
    <x v="1"/>
  </r>
  <r>
    <x v="8"/>
    <n v="0.68458699999999995"/>
    <x v="9"/>
    <x v="1"/>
  </r>
  <r>
    <x v="9"/>
    <n v="0.72012299999999996"/>
    <x v="9"/>
    <x v="1"/>
  </r>
  <r>
    <x v="10"/>
    <n v="1.7670649999999999"/>
    <x v="9"/>
    <x v="1"/>
  </r>
  <r>
    <x v="11"/>
    <n v="0.29694199999999998"/>
    <x v="9"/>
    <x v="1"/>
  </r>
  <r>
    <x v="12"/>
    <n v="0.84871700000000005"/>
    <x v="9"/>
    <x v="1"/>
  </r>
  <r>
    <x v="13"/>
    <n v="1693.05"/>
    <x v="9"/>
    <x v="1"/>
  </r>
  <r>
    <x v="14"/>
    <n v="889.73"/>
    <x v="9"/>
    <x v="1"/>
  </r>
  <r>
    <x v="15"/>
    <n v="0.15290000000000001"/>
    <x v="9"/>
    <x v="1"/>
  </r>
  <r>
    <x v="16"/>
    <n v="0.84709999999999996"/>
    <x v="9"/>
    <x v="1"/>
  </r>
  <r>
    <x v="17"/>
    <n v="0.42336613831855624"/>
    <x v="9"/>
    <x v="1"/>
  </r>
  <r>
    <x v="0"/>
    <n v="966"/>
    <x v="10"/>
    <x v="1"/>
  </r>
  <r>
    <x v="1"/>
    <n v="104849.3"/>
    <x v="10"/>
    <x v="1"/>
  </r>
  <r>
    <x v="2"/>
    <n v="31.589100000000002"/>
    <x v="10"/>
    <x v="1"/>
  </r>
  <r>
    <x v="3"/>
    <n v="0.47823350000000003"/>
    <x v="10"/>
    <x v="1"/>
  </r>
  <r>
    <x v="4"/>
    <n v="1.3"/>
    <x v="10"/>
    <x v="1"/>
  </r>
  <r>
    <x v="5"/>
    <n v="1"/>
    <x v="10"/>
    <x v="1"/>
  </r>
  <r>
    <x v="6"/>
    <n v="1.44"/>
    <x v="10"/>
    <x v="1"/>
  </r>
  <r>
    <x v="7"/>
    <n v="1.4315375571764017"/>
    <x v="10"/>
    <x v="1"/>
  </r>
  <r>
    <x v="8"/>
    <n v="0.66952100000000003"/>
    <x v="10"/>
    <x v="1"/>
  </r>
  <r>
    <x v="9"/>
    <n v="0.72006000000000014"/>
    <x v="10"/>
    <x v="1"/>
  </r>
  <r>
    <x v="10"/>
    <n v="1.7605390000000001"/>
    <x v="10"/>
    <x v="1"/>
  </r>
  <r>
    <x v="11"/>
    <n v="0.28550900000000001"/>
    <x v="10"/>
    <x v="1"/>
  </r>
  <r>
    <x v="12"/>
    <n v="0.87509000000000003"/>
    <x v="10"/>
    <x v="1"/>
  </r>
  <r>
    <x v="13"/>
    <n v="1467.9199999999998"/>
    <x v="10"/>
    <x v="1"/>
  </r>
  <r>
    <x v="14"/>
    <n v="770.49"/>
    <x v="10"/>
    <x v="1"/>
  </r>
  <r>
    <x v="15"/>
    <n v="0.1497"/>
    <x v="10"/>
    <x v="1"/>
  </r>
  <r>
    <x v="16"/>
    <n v="0.85030000000000006"/>
    <x v="10"/>
    <x v="1"/>
  </r>
  <r>
    <x v="17"/>
    <n v="0.45098277763258543"/>
    <x v="1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2">
  <r>
    <x v="0"/>
    <x v="0"/>
    <x v="0"/>
    <x v="0"/>
    <n v="0.09"/>
    <x v="0"/>
  </r>
  <r>
    <x v="1"/>
    <x v="0"/>
    <x v="0"/>
    <x v="1"/>
    <m/>
    <x v="0"/>
  </r>
  <r>
    <x v="2"/>
    <x v="0"/>
    <x v="0"/>
    <x v="1"/>
    <m/>
    <x v="0"/>
  </r>
  <r>
    <x v="3"/>
    <x v="0"/>
    <x v="0"/>
    <x v="0"/>
    <n v="1.66"/>
    <x v="0"/>
  </r>
  <r>
    <x v="4"/>
    <x v="0"/>
    <x v="0"/>
    <x v="1"/>
    <n v="1.46"/>
    <x v="0"/>
  </r>
  <r>
    <x v="5"/>
    <x v="0"/>
    <x v="0"/>
    <x v="0"/>
    <n v="0.55000000000000004"/>
    <x v="0"/>
  </r>
  <r>
    <x v="6"/>
    <x v="0"/>
    <x v="0"/>
    <x v="0"/>
    <n v="0.14000000000000001"/>
    <x v="0"/>
  </r>
  <r>
    <x v="7"/>
    <x v="0"/>
    <x v="0"/>
    <x v="0"/>
    <n v="0.04"/>
    <x v="0"/>
  </r>
  <r>
    <x v="8"/>
    <x v="0"/>
    <x v="0"/>
    <x v="0"/>
    <n v="0.24"/>
    <x v="0"/>
  </r>
  <r>
    <x v="9"/>
    <x v="0"/>
    <x v="0"/>
    <x v="0"/>
    <n v="0.05"/>
    <x v="0"/>
  </r>
  <r>
    <x v="10"/>
    <x v="0"/>
    <x v="0"/>
    <x v="2"/>
    <n v="1.77"/>
    <x v="0"/>
  </r>
  <r>
    <x v="11"/>
    <x v="0"/>
    <x v="0"/>
    <x v="2"/>
    <n v="0.94"/>
    <x v="0"/>
  </r>
  <r>
    <x v="12"/>
    <x v="0"/>
    <x v="0"/>
    <x v="2"/>
    <n v="0.28999999999999998"/>
    <x v="0"/>
  </r>
  <r>
    <x v="13"/>
    <x v="0"/>
    <x v="0"/>
    <x v="2"/>
    <n v="0.77"/>
    <x v="0"/>
  </r>
  <r>
    <x v="14"/>
    <x v="0"/>
    <x v="0"/>
    <x v="1"/>
    <s v="-"/>
    <x v="0"/>
  </r>
  <r>
    <x v="15"/>
    <x v="0"/>
    <x v="0"/>
    <x v="2"/>
    <n v="0.46"/>
    <x v="0"/>
  </r>
  <r>
    <x v="16"/>
    <x v="0"/>
    <x v="0"/>
    <x v="2"/>
    <n v="33.6"/>
    <x v="0"/>
  </r>
  <r>
    <x v="17"/>
    <x v="0"/>
    <x v="0"/>
    <x v="2"/>
    <n v="179709"/>
    <x v="0"/>
  </r>
  <r>
    <x v="18"/>
    <x v="0"/>
    <x v="0"/>
    <x v="2"/>
    <n v="1600"/>
    <x v="0"/>
  </r>
  <r>
    <x v="19"/>
    <x v="0"/>
    <x v="0"/>
    <x v="2"/>
    <n v="1.45"/>
    <x v="0"/>
  </r>
  <r>
    <x v="20"/>
    <x v="0"/>
    <x v="0"/>
    <x v="2"/>
    <n v="2612.0700000000002"/>
    <x v="0"/>
  </r>
  <r>
    <x v="21"/>
    <x v="0"/>
    <x v="0"/>
    <x v="2"/>
    <n v="1402.58"/>
    <x v="0"/>
  </r>
  <r>
    <x v="22"/>
    <x v="0"/>
    <x v="0"/>
    <x v="2"/>
    <n v="0.68"/>
    <x v="0"/>
  </r>
  <r>
    <x v="0"/>
    <x v="0"/>
    <x v="1"/>
    <x v="0"/>
    <n v="0.08"/>
    <x v="0"/>
  </r>
  <r>
    <x v="1"/>
    <x v="0"/>
    <x v="1"/>
    <x v="1"/>
    <m/>
    <x v="0"/>
  </r>
  <r>
    <x v="2"/>
    <x v="0"/>
    <x v="1"/>
    <x v="1"/>
    <m/>
    <x v="0"/>
  </r>
  <r>
    <x v="3"/>
    <x v="0"/>
    <x v="1"/>
    <x v="0"/>
    <n v="1.66"/>
    <x v="0"/>
  </r>
  <r>
    <x v="4"/>
    <x v="0"/>
    <x v="1"/>
    <x v="1"/>
    <n v="1.48"/>
    <x v="0"/>
  </r>
  <r>
    <x v="5"/>
    <x v="0"/>
    <x v="1"/>
    <x v="0"/>
    <n v="0.55000000000000004"/>
    <x v="0"/>
  </r>
  <r>
    <x v="6"/>
    <x v="0"/>
    <x v="1"/>
    <x v="0"/>
    <n v="0.13"/>
    <x v="0"/>
  </r>
  <r>
    <x v="7"/>
    <x v="0"/>
    <x v="1"/>
    <x v="0"/>
    <n v="0.04"/>
    <x v="0"/>
  </r>
  <r>
    <x v="8"/>
    <x v="0"/>
    <x v="1"/>
    <x v="0"/>
    <n v="0.24"/>
    <x v="0"/>
  </r>
  <r>
    <x v="9"/>
    <x v="0"/>
    <x v="1"/>
    <x v="0"/>
    <n v="0.04"/>
    <x v="0"/>
  </r>
  <r>
    <x v="10"/>
    <x v="0"/>
    <x v="1"/>
    <x v="2"/>
    <n v="1.76"/>
    <x v="0"/>
  </r>
  <r>
    <x v="11"/>
    <x v="0"/>
    <x v="1"/>
    <x v="2"/>
    <n v="0.93"/>
    <x v="0"/>
  </r>
  <r>
    <x v="12"/>
    <x v="0"/>
    <x v="1"/>
    <x v="2"/>
    <n v="0.28000000000000003"/>
    <x v="0"/>
  </r>
  <r>
    <x v="13"/>
    <x v="0"/>
    <x v="1"/>
    <x v="2"/>
    <n v="0.77"/>
    <x v="0"/>
  </r>
  <r>
    <x v="14"/>
    <x v="0"/>
    <x v="1"/>
    <x v="1"/>
    <s v="-"/>
    <x v="0"/>
  </r>
  <r>
    <x v="15"/>
    <x v="0"/>
    <x v="1"/>
    <x v="2"/>
    <n v="0.47"/>
    <x v="0"/>
  </r>
  <r>
    <x v="16"/>
    <x v="0"/>
    <x v="1"/>
    <x v="2"/>
    <n v="35.31"/>
    <x v="0"/>
  </r>
  <r>
    <x v="17"/>
    <x v="0"/>
    <x v="1"/>
    <x v="2"/>
    <n v="191975"/>
    <x v="0"/>
  </r>
  <r>
    <x v="18"/>
    <x v="0"/>
    <x v="1"/>
    <x v="2"/>
    <n v="1433"/>
    <x v="0"/>
  </r>
  <r>
    <x v="19"/>
    <x v="0"/>
    <x v="1"/>
    <x v="2"/>
    <n v="1.45"/>
    <x v="0"/>
  </r>
  <r>
    <x v="20"/>
    <x v="0"/>
    <x v="1"/>
    <x v="2"/>
    <n v="2775.15"/>
    <x v="0"/>
  </r>
  <r>
    <x v="21"/>
    <x v="0"/>
    <x v="1"/>
    <x v="2"/>
    <n v="1478.07"/>
    <x v="0"/>
  </r>
  <r>
    <x v="22"/>
    <x v="0"/>
    <x v="1"/>
    <x v="2"/>
    <n v="0.68"/>
    <x v="0"/>
  </r>
  <r>
    <x v="0"/>
    <x v="0"/>
    <x v="2"/>
    <x v="0"/>
    <n v="0.08"/>
    <x v="0"/>
  </r>
  <r>
    <x v="1"/>
    <x v="0"/>
    <x v="2"/>
    <x v="1"/>
    <m/>
    <x v="0"/>
  </r>
  <r>
    <x v="2"/>
    <x v="0"/>
    <x v="2"/>
    <x v="1"/>
    <m/>
    <x v="0"/>
  </r>
  <r>
    <x v="3"/>
    <x v="0"/>
    <x v="2"/>
    <x v="0"/>
    <n v="1.66"/>
    <x v="0"/>
  </r>
  <r>
    <x v="4"/>
    <x v="0"/>
    <x v="2"/>
    <x v="1"/>
    <n v="1.57"/>
    <x v="0"/>
  </r>
  <r>
    <x v="5"/>
    <x v="0"/>
    <x v="2"/>
    <x v="0"/>
    <n v="0.55000000000000004"/>
    <x v="0"/>
  </r>
  <r>
    <x v="6"/>
    <x v="0"/>
    <x v="2"/>
    <x v="0"/>
    <n v="0.12"/>
    <x v="0"/>
  </r>
  <r>
    <x v="7"/>
    <x v="0"/>
    <x v="2"/>
    <x v="0"/>
    <n v="0.04"/>
    <x v="0"/>
  </r>
  <r>
    <x v="8"/>
    <x v="0"/>
    <x v="2"/>
    <x v="0"/>
    <n v="0.22"/>
    <x v="0"/>
  </r>
  <r>
    <x v="9"/>
    <x v="0"/>
    <x v="2"/>
    <x v="0"/>
    <n v="0.04"/>
    <x v="0"/>
  </r>
  <r>
    <x v="10"/>
    <x v="0"/>
    <x v="2"/>
    <x v="2"/>
    <n v="1.76"/>
    <x v="0"/>
  </r>
  <r>
    <x v="11"/>
    <x v="0"/>
    <x v="2"/>
    <x v="2"/>
    <n v="0.9"/>
    <x v="0"/>
  </r>
  <r>
    <x v="12"/>
    <x v="0"/>
    <x v="2"/>
    <x v="2"/>
    <n v="0.26"/>
    <x v="0"/>
  </r>
  <r>
    <x v="13"/>
    <x v="0"/>
    <x v="2"/>
    <x v="2"/>
    <n v="0.76"/>
    <x v="0"/>
  </r>
  <r>
    <x v="14"/>
    <x v="0"/>
    <x v="2"/>
    <x v="1"/>
    <s v="-"/>
    <x v="0"/>
  </r>
  <r>
    <x v="15"/>
    <x v="0"/>
    <x v="2"/>
    <x v="2"/>
    <n v="0.47"/>
    <x v="0"/>
  </r>
  <r>
    <x v="16"/>
    <x v="0"/>
    <x v="2"/>
    <x v="2"/>
    <n v="38.200000000000003"/>
    <x v="0"/>
  </r>
  <r>
    <x v="17"/>
    <x v="0"/>
    <x v="2"/>
    <x v="2"/>
    <n v="212843"/>
    <x v="0"/>
  </r>
  <r>
    <x v="18"/>
    <x v="0"/>
    <x v="2"/>
    <x v="2"/>
    <n v="1409"/>
    <x v="0"/>
  </r>
  <r>
    <x v="19"/>
    <x v="0"/>
    <x v="2"/>
    <x v="2"/>
    <n v="1.45"/>
    <x v="0"/>
  </r>
  <r>
    <x v="20"/>
    <x v="0"/>
    <x v="2"/>
    <x v="2"/>
    <n v="3086.31"/>
    <x v="0"/>
  </r>
  <r>
    <x v="21"/>
    <x v="0"/>
    <x v="2"/>
    <x v="2"/>
    <n v="1620.52"/>
    <x v="0"/>
  </r>
  <r>
    <x v="22"/>
    <x v="0"/>
    <x v="2"/>
    <x v="2"/>
    <n v="0.69"/>
    <x v="0"/>
  </r>
  <r>
    <x v="0"/>
    <x v="0"/>
    <x v="3"/>
    <x v="0"/>
    <n v="0.09"/>
    <x v="0"/>
  </r>
  <r>
    <x v="1"/>
    <x v="0"/>
    <x v="3"/>
    <x v="1"/>
    <m/>
    <x v="0"/>
  </r>
  <r>
    <x v="2"/>
    <x v="0"/>
    <x v="3"/>
    <x v="1"/>
    <m/>
    <x v="0"/>
  </r>
  <r>
    <x v="3"/>
    <x v="0"/>
    <x v="3"/>
    <x v="0"/>
    <n v="1.66"/>
    <x v="0"/>
  </r>
  <r>
    <x v="4"/>
    <x v="0"/>
    <x v="3"/>
    <x v="1"/>
    <n v="1.46"/>
    <x v="0"/>
  </r>
  <r>
    <x v="5"/>
    <x v="0"/>
    <x v="3"/>
    <x v="0"/>
    <n v="0.53"/>
    <x v="0"/>
  </r>
  <r>
    <x v="6"/>
    <x v="0"/>
    <x v="3"/>
    <x v="0"/>
    <n v="0.13"/>
    <x v="0"/>
  </r>
  <r>
    <x v="7"/>
    <x v="0"/>
    <x v="3"/>
    <x v="0"/>
    <n v="0.04"/>
    <x v="0"/>
  </r>
  <r>
    <x v="8"/>
    <x v="0"/>
    <x v="3"/>
    <x v="0"/>
    <n v="0.22"/>
    <x v="0"/>
  </r>
  <r>
    <x v="9"/>
    <x v="0"/>
    <x v="3"/>
    <x v="0"/>
    <n v="0.05"/>
    <x v="0"/>
  </r>
  <r>
    <x v="10"/>
    <x v="0"/>
    <x v="3"/>
    <x v="2"/>
    <n v="1.77"/>
    <x v="0"/>
  </r>
  <r>
    <x v="11"/>
    <x v="0"/>
    <x v="3"/>
    <x v="2"/>
    <n v="0.9"/>
    <x v="0"/>
  </r>
  <r>
    <x v="12"/>
    <x v="0"/>
    <x v="3"/>
    <x v="2"/>
    <n v="0.28000000000000003"/>
    <x v="0"/>
  </r>
  <r>
    <x v="13"/>
    <x v="0"/>
    <x v="3"/>
    <x v="2"/>
    <n v="0.75"/>
    <x v="0"/>
  </r>
  <r>
    <x v="14"/>
    <x v="0"/>
    <x v="3"/>
    <x v="1"/>
    <s v="-"/>
    <x v="0"/>
  </r>
  <r>
    <x v="15"/>
    <x v="0"/>
    <x v="3"/>
    <x v="2"/>
    <n v="0.48"/>
    <x v="0"/>
  </r>
  <r>
    <x v="16"/>
    <x v="0"/>
    <x v="3"/>
    <x v="2"/>
    <n v="34"/>
    <x v="0"/>
  </r>
  <r>
    <x v="17"/>
    <x v="0"/>
    <x v="3"/>
    <x v="2"/>
    <n v="179960"/>
    <x v="0"/>
  </r>
  <r>
    <x v="18"/>
    <x v="0"/>
    <x v="3"/>
    <x v="2"/>
    <n v="1363"/>
    <x v="0"/>
  </r>
  <r>
    <x v="19"/>
    <x v="0"/>
    <x v="3"/>
    <x v="2"/>
    <n v="1.45"/>
    <x v="0"/>
  </r>
  <r>
    <x v="20"/>
    <x v="0"/>
    <x v="3"/>
    <x v="2"/>
    <n v="2612.87"/>
    <x v="0"/>
  </r>
  <r>
    <x v="21"/>
    <x v="0"/>
    <x v="3"/>
    <x v="2"/>
    <n v="1365.42"/>
    <x v="0"/>
  </r>
  <r>
    <x v="22"/>
    <x v="0"/>
    <x v="3"/>
    <x v="2"/>
    <n v="0.7"/>
    <x v="0"/>
  </r>
  <r>
    <x v="0"/>
    <x v="0"/>
    <x v="4"/>
    <x v="0"/>
    <n v="0.09"/>
    <x v="0"/>
  </r>
  <r>
    <x v="1"/>
    <x v="0"/>
    <x v="4"/>
    <x v="1"/>
    <m/>
    <x v="0"/>
  </r>
  <r>
    <x v="2"/>
    <x v="0"/>
    <x v="4"/>
    <x v="1"/>
    <m/>
    <x v="0"/>
  </r>
  <r>
    <x v="3"/>
    <x v="0"/>
    <x v="4"/>
    <x v="0"/>
    <n v="1.66"/>
    <x v="0"/>
  </r>
  <r>
    <x v="4"/>
    <x v="0"/>
    <x v="4"/>
    <x v="1"/>
    <n v="1.47"/>
    <x v="0"/>
  </r>
  <r>
    <x v="5"/>
    <x v="0"/>
    <x v="4"/>
    <x v="0"/>
    <n v="0.52"/>
    <x v="0"/>
  </r>
  <r>
    <x v="6"/>
    <x v="0"/>
    <x v="4"/>
    <x v="0"/>
    <n v="0.13"/>
    <x v="0"/>
  </r>
  <r>
    <x v="7"/>
    <x v="0"/>
    <x v="4"/>
    <x v="0"/>
    <n v="0.04"/>
    <x v="0"/>
  </r>
  <r>
    <x v="8"/>
    <x v="0"/>
    <x v="4"/>
    <x v="0"/>
    <n v="0.21"/>
    <x v="0"/>
  </r>
  <r>
    <x v="9"/>
    <x v="0"/>
    <x v="4"/>
    <x v="0"/>
    <n v="0.05"/>
    <x v="0"/>
  </r>
  <r>
    <x v="10"/>
    <x v="0"/>
    <x v="4"/>
    <x v="2"/>
    <n v="1.78"/>
    <x v="0"/>
  </r>
  <r>
    <x v="11"/>
    <x v="0"/>
    <x v="4"/>
    <x v="2"/>
    <n v="0.89"/>
    <x v="0"/>
  </r>
  <r>
    <x v="12"/>
    <x v="0"/>
    <x v="4"/>
    <x v="2"/>
    <n v="0.28999999999999998"/>
    <x v="0"/>
  </r>
  <r>
    <x v="13"/>
    <x v="0"/>
    <x v="4"/>
    <x v="2"/>
    <n v="0.75"/>
    <x v="0"/>
  </r>
  <r>
    <x v="14"/>
    <x v="0"/>
    <x v="4"/>
    <x v="1"/>
    <s v="-"/>
    <x v="0"/>
  </r>
  <r>
    <x v="15"/>
    <x v="0"/>
    <x v="4"/>
    <x v="2"/>
    <n v="0.48"/>
    <x v="0"/>
  </r>
  <r>
    <x v="16"/>
    <x v="0"/>
    <x v="4"/>
    <x v="2"/>
    <n v="32.33"/>
    <x v="0"/>
  </r>
  <r>
    <x v="17"/>
    <x v="0"/>
    <x v="4"/>
    <x v="2"/>
    <n v="158653"/>
    <x v="0"/>
  </r>
  <r>
    <x v="18"/>
    <x v="0"/>
    <x v="4"/>
    <x v="2"/>
    <n v="1243"/>
    <x v="0"/>
  </r>
  <r>
    <x v="19"/>
    <x v="0"/>
    <x v="4"/>
    <x v="2"/>
    <n v="1.44"/>
    <x v="0"/>
  </r>
  <r>
    <x v="20"/>
    <x v="0"/>
    <x v="4"/>
    <x v="2"/>
    <n v="2292.36"/>
    <x v="0"/>
  </r>
  <r>
    <x v="21"/>
    <x v="0"/>
    <x v="4"/>
    <x v="2"/>
    <n v="1197.73"/>
    <x v="0"/>
  </r>
  <r>
    <x v="22"/>
    <x v="0"/>
    <x v="4"/>
    <x v="2"/>
    <n v="0.7"/>
    <x v="0"/>
  </r>
  <r>
    <x v="0"/>
    <x v="0"/>
    <x v="5"/>
    <x v="0"/>
    <n v="0.09"/>
    <x v="0"/>
  </r>
  <r>
    <x v="1"/>
    <x v="0"/>
    <x v="5"/>
    <x v="1"/>
    <m/>
    <x v="0"/>
  </r>
  <r>
    <x v="2"/>
    <x v="0"/>
    <x v="5"/>
    <x v="1"/>
    <m/>
    <x v="0"/>
  </r>
  <r>
    <x v="3"/>
    <x v="0"/>
    <x v="5"/>
    <x v="0"/>
    <n v="1.67"/>
    <x v="0"/>
  </r>
  <r>
    <x v="4"/>
    <x v="0"/>
    <x v="5"/>
    <x v="1"/>
    <n v="1.49"/>
    <x v="0"/>
  </r>
  <r>
    <x v="5"/>
    <x v="0"/>
    <x v="5"/>
    <x v="0"/>
    <n v="0.5"/>
    <x v="0"/>
  </r>
  <r>
    <x v="6"/>
    <x v="0"/>
    <x v="5"/>
    <x v="0"/>
    <n v="0.13"/>
    <x v="0"/>
  </r>
  <r>
    <x v="7"/>
    <x v="0"/>
    <x v="5"/>
    <x v="0"/>
    <n v="7.0000000000000007E-2"/>
    <x v="0"/>
  </r>
  <r>
    <x v="8"/>
    <x v="0"/>
    <x v="5"/>
    <x v="0"/>
    <n v="0.18"/>
    <x v="0"/>
  </r>
  <r>
    <x v="9"/>
    <x v="0"/>
    <x v="5"/>
    <x v="0"/>
    <n v="0.05"/>
    <x v="0"/>
  </r>
  <r>
    <x v="10"/>
    <x v="0"/>
    <x v="5"/>
    <x v="2"/>
    <n v="1.78"/>
    <x v="0"/>
  </r>
  <r>
    <x v="11"/>
    <x v="0"/>
    <x v="5"/>
    <x v="2"/>
    <n v="0.87"/>
    <x v="0"/>
  </r>
  <r>
    <x v="12"/>
    <x v="0"/>
    <x v="5"/>
    <x v="2"/>
    <n v="0.28000000000000003"/>
    <x v="0"/>
  </r>
  <r>
    <x v="13"/>
    <x v="0"/>
    <x v="5"/>
    <x v="2"/>
    <n v="0.73"/>
    <x v="0"/>
  </r>
  <r>
    <x v="14"/>
    <x v="0"/>
    <x v="5"/>
    <x v="1"/>
    <s v="-"/>
    <x v="0"/>
  </r>
  <r>
    <x v="15"/>
    <x v="0"/>
    <x v="5"/>
    <x v="2"/>
    <n v="0.49"/>
    <x v="0"/>
  </r>
  <r>
    <x v="16"/>
    <x v="0"/>
    <x v="5"/>
    <x v="2"/>
    <n v="32.68"/>
    <x v="0"/>
  </r>
  <r>
    <x v="17"/>
    <x v="0"/>
    <x v="5"/>
    <x v="2"/>
    <n v="148532"/>
    <x v="0"/>
  </r>
  <r>
    <x v="18"/>
    <x v="0"/>
    <x v="5"/>
    <x v="2"/>
    <n v="1194"/>
    <x v="0"/>
  </r>
  <r>
    <x v="19"/>
    <x v="0"/>
    <x v="5"/>
    <x v="2"/>
    <n v="1.44"/>
    <x v="0"/>
  </r>
  <r>
    <x v="20"/>
    <x v="0"/>
    <x v="5"/>
    <x v="2"/>
    <n v="2135.69"/>
    <x v="0"/>
  </r>
  <r>
    <x v="21"/>
    <x v="0"/>
    <x v="5"/>
    <x v="2"/>
    <n v="1089.03"/>
    <x v="0"/>
  </r>
  <r>
    <x v="22"/>
    <x v="0"/>
    <x v="5"/>
    <x v="2"/>
    <n v="0.71"/>
    <x v="0"/>
  </r>
  <r>
    <x v="0"/>
    <x v="0"/>
    <x v="6"/>
    <x v="0"/>
    <n v="0.09"/>
    <x v="1"/>
  </r>
  <r>
    <x v="1"/>
    <x v="0"/>
    <x v="6"/>
    <x v="1"/>
    <m/>
    <x v="1"/>
  </r>
  <r>
    <x v="2"/>
    <x v="0"/>
    <x v="6"/>
    <x v="1"/>
    <m/>
    <x v="1"/>
  </r>
  <r>
    <x v="3"/>
    <x v="0"/>
    <x v="6"/>
    <x v="0"/>
    <n v="1.66"/>
    <x v="1"/>
  </r>
  <r>
    <x v="4"/>
    <x v="0"/>
    <x v="6"/>
    <x v="1"/>
    <n v="1.45"/>
    <x v="1"/>
  </r>
  <r>
    <x v="5"/>
    <x v="0"/>
    <x v="6"/>
    <x v="0"/>
    <n v="0.51"/>
    <x v="1"/>
  </r>
  <r>
    <x v="6"/>
    <x v="0"/>
    <x v="6"/>
    <x v="0"/>
    <n v="0.13"/>
    <x v="1"/>
  </r>
  <r>
    <x v="7"/>
    <x v="0"/>
    <x v="6"/>
    <x v="0"/>
    <n v="7.0000000000000007E-2"/>
    <x v="1"/>
  </r>
  <r>
    <x v="8"/>
    <x v="0"/>
    <x v="6"/>
    <x v="0"/>
    <n v="0.18"/>
    <x v="1"/>
  </r>
  <r>
    <x v="9"/>
    <x v="0"/>
    <x v="6"/>
    <x v="0"/>
    <n v="0.05"/>
    <x v="1"/>
  </r>
  <r>
    <x v="10"/>
    <x v="0"/>
    <x v="6"/>
    <x v="2"/>
    <n v="1.77"/>
    <x v="1"/>
  </r>
  <r>
    <x v="11"/>
    <x v="0"/>
    <x v="6"/>
    <x v="2"/>
    <n v="0.88"/>
    <x v="1"/>
  </r>
  <r>
    <x v="12"/>
    <x v="0"/>
    <x v="6"/>
    <x v="2"/>
    <n v="0.28999999999999998"/>
    <x v="1"/>
  </r>
  <r>
    <x v="13"/>
    <x v="0"/>
    <x v="6"/>
    <x v="2"/>
    <n v="0.73"/>
    <x v="1"/>
  </r>
  <r>
    <x v="14"/>
    <x v="0"/>
    <x v="6"/>
    <x v="1"/>
    <s v="-"/>
    <x v="1"/>
  </r>
  <r>
    <x v="15"/>
    <x v="0"/>
    <x v="6"/>
    <x v="2"/>
    <n v="0.49"/>
    <x v="1"/>
  </r>
  <r>
    <x v="16"/>
    <x v="0"/>
    <x v="6"/>
    <x v="2"/>
    <n v="32.29"/>
    <x v="1"/>
  </r>
  <r>
    <x v="17"/>
    <x v="0"/>
    <x v="6"/>
    <x v="2"/>
    <n v="144546"/>
    <x v="1"/>
  </r>
  <r>
    <x v="18"/>
    <x v="0"/>
    <x v="6"/>
    <x v="2"/>
    <n v="1172"/>
    <x v="1"/>
  </r>
  <r>
    <x v="19"/>
    <x v="0"/>
    <x v="6"/>
    <x v="2"/>
    <n v="1.45"/>
    <x v="1"/>
  </r>
  <r>
    <x v="20"/>
    <x v="0"/>
    <x v="6"/>
    <x v="2"/>
    <n v="2303.81"/>
    <x v="1"/>
  </r>
  <r>
    <x v="21"/>
    <x v="0"/>
    <x v="6"/>
    <x v="2"/>
    <n v="1065.78"/>
    <x v="1"/>
  </r>
  <r>
    <x v="22"/>
    <x v="0"/>
    <x v="6"/>
    <x v="2"/>
    <n v="0.72"/>
    <x v="1"/>
  </r>
  <r>
    <x v="0"/>
    <x v="0"/>
    <x v="7"/>
    <x v="0"/>
    <n v="0.09"/>
    <x v="1"/>
  </r>
  <r>
    <x v="1"/>
    <x v="0"/>
    <x v="7"/>
    <x v="1"/>
    <m/>
    <x v="1"/>
  </r>
  <r>
    <x v="2"/>
    <x v="0"/>
    <x v="7"/>
    <x v="1"/>
    <m/>
    <x v="1"/>
  </r>
  <r>
    <x v="3"/>
    <x v="0"/>
    <x v="7"/>
    <x v="0"/>
    <n v="1.67"/>
    <x v="1"/>
  </r>
  <r>
    <x v="4"/>
    <x v="0"/>
    <x v="7"/>
    <x v="1"/>
    <n v="1.48"/>
    <x v="1"/>
  </r>
  <r>
    <x v="5"/>
    <x v="0"/>
    <x v="7"/>
    <x v="0"/>
    <n v="0.49"/>
    <x v="1"/>
  </r>
  <r>
    <x v="6"/>
    <x v="0"/>
    <x v="7"/>
    <x v="0"/>
    <n v="0.13"/>
    <x v="1"/>
  </r>
  <r>
    <x v="7"/>
    <x v="0"/>
    <x v="7"/>
    <x v="0"/>
    <n v="7.0000000000000007E-2"/>
    <x v="1"/>
  </r>
  <r>
    <x v="8"/>
    <x v="0"/>
    <x v="7"/>
    <x v="0"/>
    <n v="0.18"/>
    <x v="1"/>
  </r>
  <r>
    <x v="9"/>
    <x v="0"/>
    <x v="7"/>
    <x v="0"/>
    <n v="0.05"/>
    <x v="1"/>
  </r>
  <r>
    <x v="10"/>
    <x v="0"/>
    <x v="7"/>
    <x v="2"/>
    <n v="1.78"/>
    <x v="1"/>
  </r>
  <r>
    <x v="11"/>
    <x v="0"/>
    <x v="7"/>
    <x v="2"/>
    <n v="0.86"/>
    <x v="1"/>
  </r>
  <r>
    <x v="12"/>
    <x v="0"/>
    <x v="7"/>
    <x v="2"/>
    <n v="0.28999999999999998"/>
    <x v="1"/>
  </r>
  <r>
    <x v="13"/>
    <x v="0"/>
    <x v="7"/>
    <x v="2"/>
    <n v="0.72"/>
    <x v="1"/>
  </r>
  <r>
    <x v="14"/>
    <x v="0"/>
    <x v="7"/>
    <x v="1"/>
    <s v="-"/>
    <x v="1"/>
  </r>
  <r>
    <x v="15"/>
    <x v="0"/>
    <x v="7"/>
    <x v="2"/>
    <n v="0.48"/>
    <x v="1"/>
  </r>
  <r>
    <x v="16"/>
    <x v="0"/>
    <x v="7"/>
    <x v="2"/>
    <n v="31.63"/>
    <x v="1"/>
  </r>
  <r>
    <x v="17"/>
    <x v="0"/>
    <x v="7"/>
    <x v="2"/>
    <n v="123772"/>
    <x v="1"/>
  </r>
  <r>
    <x v="18"/>
    <x v="0"/>
    <x v="7"/>
    <x v="2"/>
    <n v="1024"/>
    <x v="1"/>
  </r>
  <r>
    <x v="19"/>
    <x v="0"/>
    <x v="7"/>
    <x v="2"/>
    <n v="1.43"/>
    <x v="1"/>
  </r>
  <r>
    <x v="20"/>
    <x v="0"/>
    <x v="7"/>
    <x v="2"/>
    <n v="1769.56"/>
    <x v="1"/>
  </r>
  <r>
    <x v="21"/>
    <x v="0"/>
    <x v="7"/>
    <x v="2"/>
    <n v="916.4"/>
    <x v="1"/>
  </r>
  <r>
    <x v="22"/>
    <x v="0"/>
    <x v="7"/>
    <x v="2"/>
    <n v="0.7"/>
    <x v="1"/>
  </r>
  <r>
    <x v="0"/>
    <x v="0"/>
    <x v="8"/>
    <x v="0"/>
    <n v="0.09"/>
    <x v="1"/>
  </r>
  <r>
    <x v="1"/>
    <x v="0"/>
    <x v="8"/>
    <x v="1"/>
    <m/>
    <x v="1"/>
  </r>
  <r>
    <x v="2"/>
    <x v="0"/>
    <x v="8"/>
    <x v="1"/>
    <m/>
    <x v="1"/>
  </r>
  <r>
    <x v="3"/>
    <x v="0"/>
    <x v="8"/>
    <x v="0"/>
    <n v="1.66"/>
    <x v="1"/>
  </r>
  <r>
    <x v="4"/>
    <x v="0"/>
    <x v="8"/>
    <x v="1"/>
    <n v="1.7"/>
    <x v="1"/>
  </r>
  <r>
    <x v="5"/>
    <x v="0"/>
    <x v="8"/>
    <x v="0"/>
    <n v="0.5"/>
    <x v="1"/>
  </r>
  <r>
    <x v="6"/>
    <x v="0"/>
    <x v="8"/>
    <x v="0"/>
    <n v="0.13"/>
    <x v="1"/>
  </r>
  <r>
    <x v="7"/>
    <x v="0"/>
    <x v="8"/>
    <x v="0"/>
    <n v="7.0000000000000007E-2"/>
    <x v="1"/>
  </r>
  <r>
    <x v="8"/>
    <x v="0"/>
    <x v="8"/>
    <x v="0"/>
    <n v="0.2"/>
    <x v="1"/>
  </r>
  <r>
    <x v="9"/>
    <x v="0"/>
    <x v="8"/>
    <x v="0"/>
    <n v="0.05"/>
    <x v="1"/>
  </r>
  <r>
    <x v="10"/>
    <x v="0"/>
    <x v="8"/>
    <x v="2"/>
    <n v="1.78"/>
    <x v="1"/>
  </r>
  <r>
    <x v="11"/>
    <x v="0"/>
    <x v="8"/>
    <x v="2"/>
    <n v="0.88"/>
    <x v="1"/>
  </r>
  <r>
    <x v="12"/>
    <x v="0"/>
    <x v="8"/>
    <x v="2"/>
    <n v="0.28999999999999998"/>
    <x v="1"/>
  </r>
  <r>
    <x v="13"/>
    <x v="0"/>
    <x v="8"/>
    <x v="2"/>
    <n v="0.74"/>
    <x v="1"/>
  </r>
  <r>
    <x v="14"/>
    <x v="0"/>
    <x v="8"/>
    <x v="1"/>
    <s v="-"/>
    <x v="1"/>
  </r>
  <r>
    <x v="15"/>
    <x v="0"/>
    <x v="8"/>
    <x v="2"/>
    <n v="0.48"/>
    <x v="1"/>
  </r>
  <r>
    <x v="16"/>
    <x v="0"/>
    <x v="8"/>
    <x v="2"/>
    <n v="31.65"/>
    <x v="1"/>
  </r>
  <r>
    <x v="17"/>
    <x v="0"/>
    <x v="8"/>
    <x v="2"/>
    <n v="110941"/>
    <x v="1"/>
  </r>
  <r>
    <x v="18"/>
    <x v="0"/>
    <x v="8"/>
    <x v="2"/>
    <n v="936"/>
    <x v="1"/>
  </r>
  <r>
    <x v="19"/>
    <x v="0"/>
    <x v="8"/>
    <x v="2"/>
    <n v="1.44"/>
    <x v="1"/>
  </r>
  <r>
    <x v="20"/>
    <x v="0"/>
    <x v="8"/>
    <x v="2"/>
    <n v="1756.77"/>
    <x v="1"/>
  </r>
  <r>
    <x v="21"/>
    <x v="0"/>
    <x v="8"/>
    <x v="2"/>
    <n v="826.65"/>
    <x v="1"/>
  </r>
  <r>
    <x v="22"/>
    <x v="0"/>
    <x v="8"/>
    <x v="2"/>
    <n v="0.7"/>
    <x v="1"/>
  </r>
  <r>
    <x v="0"/>
    <x v="0"/>
    <x v="9"/>
    <x v="0"/>
    <n v="0.1"/>
    <x v="1"/>
  </r>
  <r>
    <x v="1"/>
    <x v="0"/>
    <x v="9"/>
    <x v="1"/>
    <m/>
    <x v="1"/>
  </r>
  <r>
    <x v="2"/>
    <x v="0"/>
    <x v="9"/>
    <x v="1"/>
    <m/>
    <x v="1"/>
  </r>
  <r>
    <x v="3"/>
    <x v="0"/>
    <x v="9"/>
    <x v="0"/>
    <n v="1.67"/>
    <x v="1"/>
  </r>
  <r>
    <x v="4"/>
    <x v="0"/>
    <x v="9"/>
    <x v="1"/>
    <n v="1.55"/>
    <x v="1"/>
  </r>
  <r>
    <x v="5"/>
    <x v="0"/>
    <x v="9"/>
    <x v="0"/>
    <n v="0.49"/>
    <x v="1"/>
  </r>
  <r>
    <x v="6"/>
    <x v="0"/>
    <x v="9"/>
    <x v="0"/>
    <n v="0.13"/>
    <x v="1"/>
  </r>
  <r>
    <x v="7"/>
    <x v="0"/>
    <x v="9"/>
    <x v="0"/>
    <n v="7.0000000000000007E-2"/>
    <x v="1"/>
  </r>
  <r>
    <x v="8"/>
    <x v="0"/>
    <x v="9"/>
    <x v="0"/>
    <n v="0.21"/>
    <x v="1"/>
  </r>
  <r>
    <x v="9"/>
    <x v="0"/>
    <x v="9"/>
    <x v="0"/>
    <n v="0.05"/>
    <x v="1"/>
  </r>
  <r>
    <x v="10"/>
    <x v="0"/>
    <x v="9"/>
    <x v="2"/>
    <n v="1.79"/>
    <x v="1"/>
  </r>
  <r>
    <x v="11"/>
    <x v="0"/>
    <x v="9"/>
    <x v="2"/>
    <n v="0.89"/>
    <x v="1"/>
  </r>
  <r>
    <x v="12"/>
    <x v="0"/>
    <x v="9"/>
    <x v="2"/>
    <n v="0.3"/>
    <x v="1"/>
  </r>
  <r>
    <x v="13"/>
    <x v="0"/>
    <x v="9"/>
    <x v="2"/>
    <n v="0.74"/>
    <x v="1"/>
  </r>
  <r>
    <x v="14"/>
    <x v="0"/>
    <x v="9"/>
    <x v="1"/>
    <m/>
    <x v="1"/>
  </r>
  <r>
    <x v="15"/>
    <x v="0"/>
    <x v="9"/>
    <x v="2"/>
    <n v="0.47"/>
    <x v="1"/>
  </r>
  <r>
    <x v="16"/>
    <x v="0"/>
    <x v="9"/>
    <x v="2"/>
    <n v="30.63"/>
    <x v="1"/>
  </r>
  <r>
    <x v="17"/>
    <x v="0"/>
    <x v="9"/>
    <x v="2"/>
    <n v="103118"/>
    <x v="1"/>
  </r>
  <r>
    <x v="18"/>
    <x v="0"/>
    <x v="9"/>
    <x v="2"/>
    <n v="955"/>
    <x v="1"/>
  </r>
  <r>
    <x v="19"/>
    <x v="0"/>
    <x v="9"/>
    <x v="2"/>
    <n v="1.43"/>
    <x v="1"/>
  </r>
  <r>
    <x v="20"/>
    <x v="0"/>
    <x v="9"/>
    <x v="2"/>
    <n v="1472.35"/>
    <x v="1"/>
  </r>
  <r>
    <x v="21"/>
    <x v="0"/>
    <x v="9"/>
    <x v="2"/>
    <n v="786.03"/>
    <x v="1"/>
  </r>
  <r>
    <x v="22"/>
    <x v="0"/>
    <x v="9"/>
    <x v="2"/>
    <n v="0.68"/>
    <x v="1"/>
  </r>
  <r>
    <x v="0"/>
    <x v="0"/>
    <x v="10"/>
    <x v="0"/>
    <n v="0.1"/>
    <x v="1"/>
  </r>
  <r>
    <x v="1"/>
    <x v="0"/>
    <x v="10"/>
    <x v="1"/>
    <m/>
    <x v="1"/>
  </r>
  <r>
    <x v="2"/>
    <x v="0"/>
    <x v="10"/>
    <x v="1"/>
    <m/>
    <x v="1"/>
  </r>
  <r>
    <x v="3"/>
    <x v="0"/>
    <x v="10"/>
    <x v="0"/>
    <n v="1.67"/>
    <x v="1"/>
  </r>
  <r>
    <x v="4"/>
    <x v="0"/>
    <x v="10"/>
    <x v="1"/>
    <n v="1.51"/>
    <x v="1"/>
  </r>
  <r>
    <x v="5"/>
    <x v="0"/>
    <x v="10"/>
    <x v="0"/>
    <n v="0.51"/>
    <x v="1"/>
  </r>
  <r>
    <x v="6"/>
    <x v="0"/>
    <x v="10"/>
    <x v="0"/>
    <n v="0.13"/>
    <x v="1"/>
  </r>
  <r>
    <x v="7"/>
    <x v="0"/>
    <x v="10"/>
    <x v="0"/>
    <n v="7.0000000000000007E-2"/>
    <x v="1"/>
  </r>
  <r>
    <x v="8"/>
    <x v="0"/>
    <x v="10"/>
    <x v="0"/>
    <n v="0.22"/>
    <x v="1"/>
  </r>
  <r>
    <x v="9"/>
    <x v="0"/>
    <x v="10"/>
    <x v="0"/>
    <n v="0.05"/>
    <x v="1"/>
  </r>
  <r>
    <x v="10"/>
    <x v="0"/>
    <x v="10"/>
    <x v="2"/>
    <n v="1.78"/>
    <x v="1"/>
  </r>
  <r>
    <x v="11"/>
    <x v="0"/>
    <x v="10"/>
    <x v="2"/>
    <n v="0.92"/>
    <x v="1"/>
  </r>
  <r>
    <x v="12"/>
    <x v="0"/>
    <x v="10"/>
    <x v="2"/>
    <n v="0.28999999999999998"/>
    <x v="1"/>
  </r>
  <r>
    <x v="13"/>
    <x v="0"/>
    <x v="10"/>
    <x v="2"/>
    <n v="0.75"/>
    <x v="1"/>
  </r>
  <r>
    <x v="14"/>
    <x v="0"/>
    <x v="10"/>
    <x v="1"/>
    <s v="-"/>
    <x v="1"/>
  </r>
  <r>
    <x v="15"/>
    <x v="0"/>
    <x v="10"/>
    <x v="2"/>
    <n v="0.47"/>
    <x v="1"/>
  </r>
  <r>
    <x v="16"/>
    <x v="0"/>
    <x v="10"/>
    <x v="2"/>
    <n v="31.14"/>
    <x v="1"/>
  </r>
  <r>
    <x v="17"/>
    <x v="0"/>
    <x v="10"/>
    <x v="2"/>
    <n v="89169"/>
    <x v="1"/>
  </r>
  <r>
    <x v="18"/>
    <x v="0"/>
    <x v="10"/>
    <x v="2"/>
    <n v="883"/>
    <x v="1"/>
  </r>
  <r>
    <x v="19"/>
    <x v="0"/>
    <x v="10"/>
    <x v="2"/>
    <n v="1.44"/>
    <x v="1"/>
  </r>
  <r>
    <x v="20"/>
    <x v="0"/>
    <x v="10"/>
    <x v="2"/>
    <n v="1284.82"/>
    <x v="1"/>
  </r>
  <r>
    <x v="21"/>
    <x v="0"/>
    <x v="10"/>
    <x v="2"/>
    <n v="683.49"/>
    <x v="1"/>
  </r>
  <r>
    <x v="22"/>
    <x v="0"/>
    <x v="10"/>
    <x v="2"/>
    <n v="0.68"/>
    <x v="1"/>
  </r>
  <r>
    <x v="0"/>
    <x v="0"/>
    <x v="11"/>
    <x v="0"/>
    <n v="0.1"/>
    <x v="1"/>
  </r>
  <r>
    <x v="1"/>
    <x v="0"/>
    <x v="11"/>
    <x v="1"/>
    <m/>
    <x v="1"/>
  </r>
  <r>
    <x v="2"/>
    <x v="0"/>
    <x v="11"/>
    <x v="1"/>
    <m/>
    <x v="1"/>
  </r>
  <r>
    <x v="3"/>
    <x v="0"/>
    <x v="11"/>
    <x v="0"/>
    <n v="1.66"/>
    <x v="1"/>
  </r>
  <r>
    <x v="4"/>
    <x v="0"/>
    <x v="11"/>
    <x v="1"/>
    <n v="1.37"/>
    <x v="1"/>
  </r>
  <r>
    <x v="5"/>
    <x v="0"/>
    <x v="11"/>
    <x v="0"/>
    <n v="0.51"/>
    <x v="1"/>
  </r>
  <r>
    <x v="6"/>
    <x v="0"/>
    <x v="11"/>
    <x v="0"/>
    <n v="0.13"/>
    <x v="1"/>
  </r>
  <r>
    <x v="7"/>
    <x v="0"/>
    <x v="11"/>
    <x v="0"/>
    <n v="7.0000000000000007E-2"/>
    <x v="1"/>
  </r>
  <r>
    <x v="8"/>
    <x v="0"/>
    <x v="11"/>
    <x v="0"/>
    <n v="0.23"/>
    <x v="1"/>
  </r>
  <r>
    <x v="9"/>
    <x v="0"/>
    <x v="11"/>
    <x v="0"/>
    <n v="0.05"/>
    <x v="1"/>
  </r>
  <r>
    <x v="10"/>
    <x v="0"/>
    <x v="11"/>
    <x v="2"/>
    <n v="1.78"/>
    <x v="1"/>
  </r>
  <r>
    <x v="11"/>
    <x v="0"/>
    <x v="11"/>
    <x v="2"/>
    <n v="0.93"/>
    <x v="1"/>
  </r>
  <r>
    <x v="12"/>
    <x v="0"/>
    <x v="11"/>
    <x v="2"/>
    <n v="0.28999999999999998"/>
    <x v="1"/>
  </r>
  <r>
    <x v="13"/>
    <x v="0"/>
    <x v="11"/>
    <x v="2"/>
    <n v="0.76"/>
    <x v="1"/>
  </r>
  <r>
    <x v="14"/>
    <x v="0"/>
    <x v="11"/>
    <x v="1"/>
    <s v="-"/>
    <x v="1"/>
  </r>
  <r>
    <x v="15"/>
    <x v="0"/>
    <x v="11"/>
    <x v="2"/>
    <n v="0.47"/>
    <x v="1"/>
  </r>
  <r>
    <x v="16"/>
    <x v="0"/>
    <x v="11"/>
    <x v="2"/>
    <n v="30.97"/>
    <x v="1"/>
  </r>
  <r>
    <x v="17"/>
    <x v="0"/>
    <x v="11"/>
    <x v="2"/>
    <n v="90011.558999999994"/>
    <x v="1"/>
  </r>
  <r>
    <x v="18"/>
    <x v="0"/>
    <x v="11"/>
    <x v="2"/>
    <n v="805"/>
    <x v="1"/>
  </r>
  <r>
    <x v="19"/>
    <x v="0"/>
    <x v="11"/>
    <x v="2"/>
    <n v="1.45"/>
    <x v="1"/>
  </r>
  <r>
    <x v="20"/>
    <x v="0"/>
    <x v="11"/>
    <x v="2"/>
    <n v="1302.53909"/>
    <x v="1"/>
  </r>
  <r>
    <x v="21"/>
    <x v="0"/>
    <x v="11"/>
    <x v="2"/>
    <n v="688.98568999999998"/>
    <x v="1"/>
  </r>
  <r>
    <x v="22"/>
    <x v="0"/>
    <x v="11"/>
    <x v="2"/>
    <n v="0.69"/>
    <x v="1"/>
  </r>
  <r>
    <x v="0"/>
    <x v="0"/>
    <x v="12"/>
    <x v="0"/>
    <n v="9.8940594899303264E-2"/>
    <x v="1"/>
  </r>
  <r>
    <x v="1"/>
    <x v="0"/>
    <x v="12"/>
    <x v="1"/>
    <m/>
    <x v="1"/>
  </r>
  <r>
    <x v="2"/>
    <x v="0"/>
    <x v="12"/>
    <x v="1"/>
    <m/>
    <x v="1"/>
  </r>
  <r>
    <x v="3"/>
    <x v="0"/>
    <x v="12"/>
    <x v="0"/>
    <n v="1.6601171967190063"/>
    <x v="1"/>
  </r>
  <r>
    <x v="4"/>
    <x v="0"/>
    <x v="12"/>
    <x v="1"/>
    <n v="1.4371276685385925"/>
    <x v="1"/>
  </r>
  <r>
    <x v="5"/>
    <x v="0"/>
    <x v="12"/>
    <x v="0"/>
    <n v="0.52654170033239389"/>
    <x v="1"/>
  </r>
  <r>
    <x v="6"/>
    <x v="0"/>
    <x v="12"/>
    <x v="0"/>
    <n v="0.12810220443565548"/>
    <x v="1"/>
  </r>
  <r>
    <x v="7"/>
    <x v="0"/>
    <x v="12"/>
    <x v="0"/>
    <n v="8.000351541305574E-2"/>
    <x v="1"/>
  </r>
  <r>
    <x v="8"/>
    <x v="0"/>
    <x v="12"/>
    <x v="0"/>
    <n v="0.23410448286979318"/>
    <x v="1"/>
  </r>
  <r>
    <x v="9"/>
    <x v="0"/>
    <x v="12"/>
    <x v="0"/>
    <n v="4.7012852473842993E-2"/>
    <x v="1"/>
  </r>
  <r>
    <x v="10"/>
    <x v="0"/>
    <x v="12"/>
    <x v="2"/>
    <n v="1.7790577977490223"/>
    <x v="1"/>
  </r>
  <r>
    <x v="11"/>
    <x v="0"/>
    <x v="12"/>
    <x v="2"/>
    <n v="0.95959029964525888"/>
    <x v="1"/>
  </r>
  <r>
    <x v="12"/>
    <x v="0"/>
    <x v="12"/>
    <x v="2"/>
    <n v="0.2940556579395146"/>
    <x v="1"/>
  </r>
  <r>
    <x v="13"/>
    <x v="0"/>
    <x v="12"/>
    <x v="2"/>
    <n v="0.77814892889249165"/>
    <x v="1"/>
  </r>
  <r>
    <x v="14"/>
    <x v="0"/>
    <x v="12"/>
    <x v="1"/>
    <s v="-"/>
    <x v="1"/>
  </r>
  <r>
    <x v="15"/>
    <x v="0"/>
    <x v="12"/>
    <x v="2"/>
    <n v="0.46464879817949967"/>
    <x v="1"/>
  </r>
  <r>
    <x v="16"/>
    <x v="0"/>
    <x v="12"/>
    <x v="2"/>
    <n v="30.321224600006175"/>
    <x v="1"/>
  </r>
  <r>
    <x v="17"/>
    <x v="0"/>
    <x v="12"/>
    <x v="2"/>
    <n v="73078.986000000004"/>
    <x v="1"/>
  </r>
  <r>
    <x v="18"/>
    <x v="0"/>
    <x v="12"/>
    <x v="2"/>
    <n v="724"/>
    <x v="1"/>
  </r>
  <r>
    <x v="19"/>
    <x v="0"/>
    <x v="12"/>
    <x v="2"/>
    <n v="1.4648145395679724"/>
    <x v="1"/>
  </r>
  <r>
    <x v="20"/>
    <x v="0"/>
    <x v="12"/>
    <x v="2"/>
    <n v="1068.9190909090901"/>
    <x v="1"/>
  </r>
  <r>
    <x v="21"/>
    <x v="0"/>
    <x v="12"/>
    <x v="2"/>
    <n v="572.51975000000004"/>
    <x v="1"/>
  </r>
  <r>
    <x v="22"/>
    <x v="0"/>
    <x v="12"/>
    <x v="2"/>
    <n v="0.68666561067548071"/>
    <x v="1"/>
  </r>
  <r>
    <x v="0"/>
    <x v="0"/>
    <x v="13"/>
    <x v="0"/>
    <n v="9.6401544295728253E-2"/>
    <x v="1"/>
  </r>
  <r>
    <x v="1"/>
    <x v="0"/>
    <x v="13"/>
    <x v="1"/>
    <m/>
    <x v="1"/>
  </r>
  <r>
    <x v="2"/>
    <x v="0"/>
    <x v="13"/>
    <x v="1"/>
    <m/>
    <x v="1"/>
  </r>
  <r>
    <x v="3"/>
    <x v="0"/>
    <x v="13"/>
    <x v="0"/>
    <n v="1.660627889719497"/>
    <x v="1"/>
  </r>
  <r>
    <x v="4"/>
    <x v="0"/>
    <x v="13"/>
    <x v="1"/>
    <n v="1.4565184210298958"/>
    <x v="1"/>
  </r>
  <r>
    <x v="5"/>
    <x v="0"/>
    <x v="13"/>
    <x v="0"/>
    <n v="0.52202436804514918"/>
    <x v="1"/>
  </r>
  <r>
    <x v="6"/>
    <x v="0"/>
    <x v="13"/>
    <x v="0"/>
    <n v="0.12284110985358884"/>
    <x v="1"/>
  </r>
  <r>
    <x v="7"/>
    <x v="0"/>
    <x v="13"/>
    <x v="0"/>
    <n v="8.0002221234232201E-2"/>
    <x v="1"/>
  </r>
  <r>
    <x v="8"/>
    <x v="0"/>
    <x v="13"/>
    <x v="0"/>
    <n v="0.22890849505835426"/>
    <x v="1"/>
  </r>
  <r>
    <x v="9"/>
    <x v="0"/>
    <x v="13"/>
    <x v="0"/>
    <n v="4.596988102941766E-2"/>
    <x v="1"/>
  </r>
  <r>
    <x v="10"/>
    <x v="0"/>
    <x v="13"/>
    <x v="2"/>
    <n v="1.7770294337401822"/>
    <x v="1"/>
  </r>
  <r>
    <x v="11"/>
    <x v="0"/>
    <x v="13"/>
    <x v="2"/>
    <n v="0.94733662835842081"/>
    <x v="1"/>
  </r>
  <r>
    <x v="12"/>
    <x v="0"/>
    <x v="13"/>
    <x v="2"/>
    <n v="0.28521253490369158"/>
    <x v="1"/>
  </r>
  <r>
    <x v="13"/>
    <x v="0"/>
    <x v="13"/>
    <x v="2"/>
    <n v="0.75256041682136787"/>
    <x v="1"/>
  </r>
  <r>
    <x v="14"/>
    <x v="0"/>
    <x v="13"/>
    <x v="1"/>
    <s v="-"/>
    <x v="1"/>
  </r>
  <r>
    <x v="15"/>
    <x v="0"/>
    <x v="13"/>
    <x v="2"/>
    <n v="0.47361198038679486"/>
    <x v="1"/>
  </r>
  <r>
    <x v="16"/>
    <x v="0"/>
    <x v="13"/>
    <x v="2"/>
    <n v="31.119833420894029"/>
    <x v="1"/>
  </r>
  <r>
    <x v="17"/>
    <x v="0"/>
    <x v="13"/>
    <x v="2"/>
    <n v="67258.509999999995"/>
    <x v="1"/>
  </r>
  <r>
    <x v="18"/>
    <x v="0"/>
    <x v="13"/>
    <x v="2"/>
    <n v="637"/>
    <x v="1"/>
  </r>
  <r>
    <x v="19"/>
    <x v="0"/>
    <x v="13"/>
    <x v="2"/>
    <n v="1.4405503051049664"/>
    <x v="1"/>
  </r>
  <r>
    <x v="20"/>
    <x v="0"/>
    <x v="13"/>
    <x v="2"/>
    <n v="968.89200000000005"/>
    <x v="1"/>
  </r>
  <r>
    <x v="21"/>
    <x v="0"/>
    <x v="13"/>
    <x v="2"/>
    <n v="510.01299999999998"/>
    <x v="1"/>
  </r>
  <r>
    <x v="22"/>
    <x v="0"/>
    <x v="13"/>
    <x v="2"/>
    <n v="0.68798988828359853"/>
    <x v="1"/>
  </r>
  <r>
    <x v="0"/>
    <x v="0"/>
    <x v="14"/>
    <x v="0"/>
    <n v="8.6426774912682081E-2"/>
    <x v="1"/>
  </r>
  <r>
    <x v="1"/>
    <x v="0"/>
    <x v="14"/>
    <x v="1"/>
    <m/>
    <x v="1"/>
  </r>
  <r>
    <x v="2"/>
    <x v="0"/>
    <x v="14"/>
    <x v="1"/>
    <m/>
    <x v="1"/>
  </r>
  <r>
    <x v="3"/>
    <x v="0"/>
    <x v="14"/>
    <x v="0"/>
    <n v="1.6590473544410678"/>
    <x v="1"/>
  </r>
  <r>
    <x v="4"/>
    <x v="0"/>
    <x v="14"/>
    <x v="1"/>
    <n v="1.489073236779952"/>
    <x v="1"/>
  </r>
  <r>
    <x v="5"/>
    <x v="0"/>
    <x v="14"/>
    <x v="0"/>
    <n v="0.5248464947455509"/>
    <x v="1"/>
  </r>
  <r>
    <x v="6"/>
    <x v="0"/>
    <x v="14"/>
    <x v="0"/>
    <n v="0.11444530210357813"/>
    <x v="1"/>
  </r>
  <r>
    <x v="7"/>
    <x v="0"/>
    <x v="14"/>
    <x v="0"/>
    <n v="8.0000768079270507E-2"/>
    <x v="1"/>
  </r>
  <r>
    <x v="8"/>
    <x v="0"/>
    <x v="14"/>
    <x v="0"/>
    <n v="0.20459860943848043"/>
    <x v="1"/>
  </r>
  <r>
    <x v="9"/>
    <x v="0"/>
    <x v="14"/>
    <x v="0"/>
    <n v="4.3917378007595972E-2"/>
    <x v="1"/>
  </r>
  <r>
    <x v="10"/>
    <x v="0"/>
    <x v="14"/>
    <x v="2"/>
    <n v="1.7654741262860174"/>
    <x v="1"/>
  </r>
  <r>
    <x v="11"/>
    <x v="0"/>
    <x v="14"/>
    <x v="2"/>
    <n v="0.91587264410825142"/>
    <x v="1"/>
  </r>
  <r>
    <x v="12"/>
    <x v="0"/>
    <x v="14"/>
    <x v="2"/>
    <n v="0.26478945195612369"/>
    <x v="1"/>
  </r>
  <r>
    <x v="13"/>
    <x v="0"/>
    <x v="14"/>
    <x v="2"/>
    <n v="0.74332967390025728"/>
    <x v="1"/>
  </r>
  <r>
    <x v="14"/>
    <x v="0"/>
    <x v="14"/>
    <x v="1"/>
    <s v="-"/>
    <x v="1"/>
  </r>
  <r>
    <x v="15"/>
    <x v="0"/>
    <x v="14"/>
    <x v="2"/>
    <n v="0.4818997919810647"/>
    <x v="1"/>
  </r>
  <r>
    <x v="16"/>
    <x v="0"/>
    <x v="14"/>
    <x v="2"/>
    <n v="34.711465318831266"/>
    <x v="1"/>
  </r>
  <r>
    <x v="17"/>
    <x v="0"/>
    <x v="14"/>
    <x v="2"/>
    <n v="77143.029410000003"/>
    <x v="1"/>
  </r>
  <r>
    <x v="18"/>
    <x v="0"/>
    <x v="14"/>
    <x v="2"/>
    <n v="615"/>
    <x v="1"/>
  </r>
  <r>
    <x v="19"/>
    <x v="0"/>
    <x v="14"/>
    <x v="2"/>
    <n v="1.4469181106487266"/>
    <x v="1"/>
  </r>
  <r>
    <x v="20"/>
    <x v="0"/>
    <x v="14"/>
    <x v="2"/>
    <n v="1116.1964636363598"/>
    <x v="1"/>
  </r>
  <r>
    <x v="21"/>
    <x v="0"/>
    <x v="14"/>
    <x v="2"/>
    <n v="578.30161999999996"/>
    <x v="1"/>
  </r>
  <r>
    <x v="22"/>
    <x v="0"/>
    <x v="14"/>
    <x v="2"/>
    <n v="0.70358843674846927"/>
    <x v="1"/>
  </r>
  <r>
    <x v="0"/>
    <x v="0"/>
    <x v="15"/>
    <x v="0"/>
    <n v="0.10077569165507891"/>
    <x v="1"/>
  </r>
  <r>
    <x v="1"/>
    <x v="0"/>
    <x v="15"/>
    <x v="1"/>
    <m/>
    <x v="1"/>
  </r>
  <r>
    <x v="2"/>
    <x v="0"/>
    <x v="15"/>
    <x v="1"/>
    <m/>
    <x v="1"/>
  </r>
  <r>
    <x v="3"/>
    <x v="0"/>
    <x v="15"/>
    <x v="0"/>
    <n v="1.6765611179984214"/>
    <x v="1"/>
  </r>
  <r>
    <x v="4"/>
    <x v="0"/>
    <x v="15"/>
    <x v="1"/>
    <n v="1.4162642407077395"/>
    <x v="1"/>
  </r>
  <r>
    <x v="5"/>
    <x v="0"/>
    <x v="15"/>
    <x v="0"/>
    <n v="0.51606172814328943"/>
    <x v="1"/>
  </r>
  <r>
    <x v="6"/>
    <x v="0"/>
    <x v="15"/>
    <x v="0"/>
    <n v="0.12847529299241225"/>
    <x v="1"/>
  </r>
  <r>
    <x v="7"/>
    <x v="0"/>
    <x v="15"/>
    <x v="0"/>
    <n v="8.0000638139397284E-2"/>
    <x v="1"/>
  </r>
  <r>
    <x v="8"/>
    <x v="0"/>
    <x v="15"/>
    <x v="0"/>
    <n v="0.22430412282078704"/>
    <x v="1"/>
  </r>
  <r>
    <x v="9"/>
    <x v="0"/>
    <x v="15"/>
    <x v="0"/>
    <n v="4.7212169474540586E-2"/>
    <x v="1"/>
  </r>
  <r>
    <x v="10"/>
    <x v="0"/>
    <x v="15"/>
    <x v="2"/>
    <n v="1.797336801983332"/>
    <x v="1"/>
  </r>
  <r>
    <x v="11"/>
    <x v="0"/>
    <x v="15"/>
    <x v="2"/>
    <n v="0.94114217308838455"/>
    <x v="1"/>
  </r>
  <r>
    <x v="12"/>
    <x v="0"/>
    <x v="15"/>
    <x v="2"/>
    <n v="0.29646314645186356"/>
    <x v="1"/>
  </r>
  <r>
    <x v="13"/>
    <x v="0"/>
    <x v="15"/>
    <x v="2"/>
    <n v="0.75569611982630835"/>
    <x v="1"/>
  </r>
  <r>
    <x v="14"/>
    <x v="0"/>
    <x v="15"/>
    <x v="1"/>
    <s v="-"/>
    <x v="1"/>
  </r>
  <r>
    <x v="15"/>
    <x v="0"/>
    <x v="15"/>
    <x v="2"/>
    <n v="0.46780672031038362"/>
    <x v="1"/>
  </r>
  <r>
    <x v="16"/>
    <x v="0"/>
    <x v="15"/>
    <x v="2"/>
    <n v="29.769083701930668"/>
    <x v="1"/>
  </r>
  <r>
    <x v="17"/>
    <x v="0"/>
    <x v="15"/>
    <x v="2"/>
    <n v="52648.309679999998"/>
    <x v="1"/>
  </r>
  <r>
    <x v="18"/>
    <x v="0"/>
    <x v="15"/>
    <x v="2"/>
    <n v="577"/>
    <x v="1"/>
  </r>
  <r>
    <x v="19"/>
    <x v="0"/>
    <x v="15"/>
    <x v="2"/>
    <n v="1.4336479954462162"/>
    <x v="1"/>
  </r>
  <r>
    <x v="20"/>
    <x v="0"/>
    <x v="15"/>
    <x v="2"/>
    <n v="754.79143636363597"/>
    <x v="1"/>
  </r>
  <r>
    <x v="21"/>
    <x v="0"/>
    <x v="15"/>
    <x v="2"/>
    <n v="401.69493"/>
    <x v="1"/>
  </r>
  <r>
    <x v="22"/>
    <x v="0"/>
    <x v="15"/>
    <x v="2"/>
    <n v="0.67795187561990788"/>
    <x v="1"/>
  </r>
  <r>
    <x v="0"/>
    <x v="0"/>
    <x v="16"/>
    <x v="0"/>
    <n v="0.10339106262947326"/>
    <x v="1"/>
  </r>
  <r>
    <x v="1"/>
    <x v="0"/>
    <x v="16"/>
    <x v="1"/>
    <m/>
    <x v="1"/>
  </r>
  <r>
    <x v="2"/>
    <x v="0"/>
    <x v="16"/>
    <x v="1"/>
    <m/>
    <x v="1"/>
  </r>
  <r>
    <x v="3"/>
    <x v="0"/>
    <x v="16"/>
    <x v="0"/>
    <n v="1.675038712204044"/>
    <x v="1"/>
  </r>
  <r>
    <x v="4"/>
    <x v="0"/>
    <x v="16"/>
    <x v="1"/>
    <n v="1.4117792862129366"/>
    <x v="1"/>
  </r>
  <r>
    <x v="5"/>
    <x v="0"/>
    <x v="16"/>
    <x v="0"/>
    <n v="0.42949485098276019"/>
    <x v="1"/>
  </r>
  <r>
    <x v="6"/>
    <x v="0"/>
    <x v="16"/>
    <x v="0"/>
    <n v="0.18418726459454673"/>
    <x v="1"/>
  </r>
  <r>
    <x v="7"/>
    <x v="0"/>
    <x v="16"/>
    <x v="0"/>
    <n v="8.0000173146034734E-2"/>
    <x v="1"/>
  </r>
  <r>
    <x v="8"/>
    <x v="0"/>
    <x v="16"/>
    <x v="0"/>
    <n v="0.19031668565906548"/>
    <x v="1"/>
  </r>
  <r>
    <x v="9"/>
    <x v="0"/>
    <x v="16"/>
    <x v="0"/>
    <n v="5.1357551538392859E-2"/>
    <x v="1"/>
  </r>
  <r>
    <x v="10"/>
    <x v="0"/>
    <x v="16"/>
    <x v="2"/>
    <n v="1.7984297703869792"/>
    <x v="1"/>
  </r>
  <r>
    <x v="11"/>
    <x v="0"/>
    <x v="16"/>
    <x v="2"/>
    <n v="0.82320276797079583"/>
    <x v="1"/>
  </r>
  <r>
    <x v="12"/>
    <x v="0"/>
    <x v="16"/>
    <x v="2"/>
    <n v="0.35893587431587493"/>
    <x v="1"/>
  </r>
  <r>
    <x v="13"/>
    <x v="0"/>
    <x v="16"/>
    <x v="2"/>
    <n v="0.74182625190498352"/>
    <x v="1"/>
  </r>
  <r>
    <x v="14"/>
    <x v="0"/>
    <x v="16"/>
    <x v="1"/>
    <s v="-"/>
    <x v="1"/>
  </r>
  <r>
    <x v="15"/>
    <x v="0"/>
    <x v="16"/>
    <x v="2"/>
    <n v="0.4782844488943564"/>
    <x v="1"/>
  </r>
  <r>
    <x v="16"/>
    <x v="0"/>
    <x v="16"/>
    <x v="2"/>
    <n v="29.016047651538525"/>
    <x v="1"/>
  </r>
  <r>
    <x v="17"/>
    <x v="0"/>
    <x v="16"/>
    <x v="2"/>
    <n v="44531.328119999998"/>
    <x v="1"/>
  </r>
  <r>
    <x v="18"/>
    <x v="0"/>
    <x v="16"/>
    <x v="2"/>
    <n v="497"/>
    <x v="1"/>
  </r>
  <r>
    <x v="19"/>
    <x v="0"/>
    <x v="16"/>
    <x v="2"/>
    <n v="1.4474951984963083"/>
    <x v="1"/>
  </r>
  <r>
    <x v="20"/>
    <x v="0"/>
    <x v="16"/>
    <x v="2"/>
    <n v="644.58883636363601"/>
    <x v="1"/>
  </r>
  <r>
    <x v="21"/>
    <x v="0"/>
    <x v="16"/>
    <x v="2"/>
    <n v="336.29201999999998"/>
    <x v="1"/>
  </r>
  <r>
    <x v="22"/>
    <x v="0"/>
    <x v="16"/>
    <x v="2"/>
    <n v="0.70566894659132473"/>
    <x v="1"/>
  </r>
  <r>
    <x v="0"/>
    <x v="0"/>
    <x v="17"/>
    <x v="0"/>
    <n v="0.1044986726750617"/>
    <x v="1"/>
  </r>
  <r>
    <x v="1"/>
    <x v="0"/>
    <x v="17"/>
    <x v="1"/>
    <m/>
    <x v="1"/>
  </r>
  <r>
    <x v="2"/>
    <x v="0"/>
    <x v="17"/>
    <x v="1"/>
    <m/>
    <x v="1"/>
  </r>
  <r>
    <x v="3"/>
    <x v="0"/>
    <x v="17"/>
    <x v="0"/>
    <n v="1.6626370201142948"/>
    <x v="1"/>
  </r>
  <r>
    <x v="4"/>
    <x v="0"/>
    <x v="17"/>
    <x v="1"/>
    <n v="1.4042762472599237"/>
    <x v="1"/>
  </r>
  <r>
    <x v="5"/>
    <x v="0"/>
    <x v="17"/>
    <x v="0"/>
    <n v="0.41864245010044232"/>
    <x v="1"/>
  </r>
  <r>
    <x v="6"/>
    <x v="0"/>
    <x v="17"/>
    <x v="0"/>
    <n v="0.17226586388145945"/>
    <x v="1"/>
  </r>
  <r>
    <x v="7"/>
    <x v="0"/>
    <x v="17"/>
    <x v="0"/>
    <n v="8.000001678208761E-2"/>
    <x v="1"/>
  </r>
  <r>
    <x v="8"/>
    <x v="0"/>
    <x v="17"/>
    <x v="0"/>
    <n v="0.18534792764849028"/>
    <x v="1"/>
  </r>
  <r>
    <x v="9"/>
    <x v="0"/>
    <x v="17"/>
    <x v="0"/>
    <n v="4.9953690746443714E-2"/>
    <x v="1"/>
  </r>
  <r>
    <x v="10"/>
    <x v="0"/>
    <x v="17"/>
    <x v="2"/>
    <n v="1.7890981739212009"/>
    <x v="1"/>
  </r>
  <r>
    <x v="11"/>
    <x v="0"/>
    <x v="17"/>
    <x v="2"/>
    <n v="0.81045154833792621"/>
    <x v="1"/>
  </r>
  <r>
    <x v="12"/>
    <x v="0"/>
    <x v="17"/>
    <x v="2"/>
    <n v="0.34868070843480919"/>
    <x v="1"/>
  </r>
  <r>
    <x v="13"/>
    <x v="0"/>
    <x v="17"/>
    <x v="2"/>
    <n v="0.71006759595349889"/>
    <x v="1"/>
  </r>
  <r>
    <x v="14"/>
    <x v="0"/>
    <x v="17"/>
    <x v="1"/>
    <s v="-"/>
    <x v="1"/>
  </r>
  <r>
    <x v="15"/>
    <x v="0"/>
    <x v="17"/>
    <x v="2"/>
    <n v="0.51416151065125404"/>
    <x v="1"/>
  </r>
  <r>
    <x v="16"/>
    <x v="0"/>
    <x v="17"/>
    <x v="2"/>
    <n v="28.708498617283784"/>
    <x v="1"/>
  </r>
  <r>
    <x v="17"/>
    <x v="0"/>
    <x v="17"/>
    <x v="2"/>
    <n v="42825.58006"/>
    <x v="1"/>
  </r>
  <r>
    <x v="18"/>
    <x v="0"/>
    <x v="17"/>
    <x v="2"/>
    <n v="399"/>
    <x v="1"/>
  </r>
  <r>
    <x v="19"/>
    <x v="0"/>
    <x v="17"/>
    <x v="2"/>
    <n v="1.4472515110760986"/>
    <x v="1"/>
  </r>
  <r>
    <x v="20"/>
    <x v="0"/>
    <x v="17"/>
    <x v="2"/>
    <n v="619.793854545454"/>
    <x v="1"/>
  </r>
  <r>
    <x v="21"/>
    <x v="0"/>
    <x v="17"/>
    <x v="2"/>
    <n v="301.11971"/>
    <x v="1"/>
  </r>
  <r>
    <x v="22"/>
    <x v="0"/>
    <x v="17"/>
    <x v="2"/>
    <n v="0.73718391512259973"/>
    <x v="1"/>
  </r>
  <r>
    <x v="0"/>
    <x v="0"/>
    <x v="18"/>
    <x v="0"/>
    <n v="0.10978723146574942"/>
    <x v="1"/>
  </r>
  <r>
    <x v="1"/>
    <x v="0"/>
    <x v="18"/>
    <x v="1"/>
    <m/>
    <x v="1"/>
  </r>
  <r>
    <x v="2"/>
    <x v="0"/>
    <x v="18"/>
    <x v="1"/>
    <m/>
    <x v="1"/>
  </r>
  <r>
    <x v="3"/>
    <x v="0"/>
    <x v="18"/>
    <x v="0"/>
    <n v="1.649999985536809"/>
    <x v="1"/>
  </r>
  <r>
    <x v="4"/>
    <x v="0"/>
    <x v="18"/>
    <x v="1"/>
    <n v="1.4569595452463344"/>
    <x v="1"/>
  </r>
  <r>
    <x v="5"/>
    <x v="0"/>
    <x v="18"/>
    <x v="0"/>
    <n v="0.49028590077672835"/>
    <x v="1"/>
  </r>
  <r>
    <x v="6"/>
    <x v="0"/>
    <x v="18"/>
    <x v="0"/>
    <n v="0.12797311506369455"/>
    <x v="1"/>
  </r>
  <r>
    <x v="7"/>
    <x v="0"/>
    <x v="18"/>
    <x v="0"/>
    <n v="8.0000008294494135E-2"/>
    <x v="1"/>
  </r>
  <r>
    <x v="8"/>
    <x v="0"/>
    <x v="18"/>
    <x v="0"/>
    <n v="0.21438399137516795"/>
    <x v="1"/>
  </r>
  <r>
    <x v="9"/>
    <x v="0"/>
    <x v="18"/>
    <x v="0"/>
    <n v="4.7747196495730837E-2"/>
    <x v="1"/>
  </r>
  <r>
    <x v="10"/>
    <x v="0"/>
    <x v="18"/>
    <x v="2"/>
    <n v="1.7797872077309953"/>
    <x v="1"/>
  </r>
  <r>
    <x v="11"/>
    <x v="0"/>
    <x v="18"/>
    <x v="2"/>
    <n v="0.91445712264057666"/>
    <x v="1"/>
  </r>
  <r>
    <x v="12"/>
    <x v="0"/>
    <x v="18"/>
    <x v="2"/>
    <n v="0.30550753375361162"/>
    <x v="1"/>
  </r>
  <r>
    <x v="13"/>
    <x v="0"/>
    <x v="18"/>
    <x v="2"/>
    <n v="0.71724026337710867"/>
    <x v="1"/>
  </r>
  <r>
    <x v="14"/>
    <x v="0"/>
    <x v="18"/>
    <x v="1"/>
    <s v="-"/>
    <x v="1"/>
  </r>
  <r>
    <x v="15"/>
    <x v="0"/>
    <x v="18"/>
    <x v="2"/>
    <n v="0.47722378330638038"/>
    <x v="1"/>
  </r>
  <r>
    <x v="16"/>
    <x v="0"/>
    <x v="18"/>
    <x v="2"/>
    <n v="27.325582036704485"/>
    <x v="1"/>
  </r>
  <r>
    <x v="17"/>
    <x v="0"/>
    <x v="18"/>
    <x v="2"/>
    <n v="34529.951269999998"/>
    <x v="1"/>
  </r>
  <r>
    <x v="18"/>
    <x v="0"/>
    <x v="18"/>
    <x v="2"/>
    <n v="386"/>
    <x v="1"/>
  </r>
  <r>
    <x v="19"/>
    <x v="0"/>
    <x v="18"/>
    <x v="2"/>
    <n v="1.3700428728222653"/>
    <x v="1"/>
  </r>
  <r>
    <x v="20"/>
    <x v="0"/>
    <x v="18"/>
    <x v="2"/>
    <n v="473.07513636363598"/>
    <x v="1"/>
  </r>
  <r>
    <x v="21"/>
    <x v="0"/>
    <x v="18"/>
    <x v="2"/>
    <n v="247.31243000000001"/>
    <x v="1"/>
  </r>
  <r>
    <x v="22"/>
    <x v="0"/>
    <x v="18"/>
    <x v="2"/>
    <n v="0.65280260944515667"/>
    <x v="1"/>
  </r>
  <r>
    <x v="0"/>
    <x v="0"/>
    <x v="19"/>
    <x v="0"/>
    <n v="0.1029922700623838"/>
    <x v="1"/>
  </r>
  <r>
    <x v="1"/>
    <x v="0"/>
    <x v="19"/>
    <x v="1"/>
    <m/>
    <x v="1"/>
  </r>
  <r>
    <x v="2"/>
    <x v="0"/>
    <x v="19"/>
    <x v="1"/>
    <m/>
    <x v="1"/>
  </r>
  <r>
    <x v="3"/>
    <x v="0"/>
    <x v="19"/>
    <x v="0"/>
    <n v="1.6499995738973046"/>
    <x v="1"/>
  </r>
  <r>
    <x v="4"/>
    <x v="0"/>
    <x v="19"/>
    <x v="1"/>
    <n v="1.4254377793179858"/>
    <x v="1"/>
  </r>
  <r>
    <x v="5"/>
    <x v="0"/>
    <x v="19"/>
    <x v="0"/>
    <n v="0.48540656169552743"/>
    <x v="1"/>
  </r>
  <r>
    <x v="6"/>
    <x v="0"/>
    <x v="19"/>
    <x v="0"/>
    <n v="0.12354048045042654"/>
    <x v="1"/>
  </r>
  <r>
    <x v="7"/>
    <x v="0"/>
    <x v="19"/>
    <x v="0"/>
    <n v="8.000001153446093E-2"/>
    <x v="1"/>
  </r>
  <r>
    <x v="8"/>
    <x v="0"/>
    <x v="19"/>
    <x v="0"/>
    <n v="0.2024496428121309"/>
    <x v="1"/>
  </r>
  <r>
    <x v="9"/>
    <x v="0"/>
    <x v="19"/>
    <x v="0"/>
    <n v="4.708285303828149E-2"/>
    <x v="1"/>
  </r>
  <r>
    <x v="10"/>
    <x v="0"/>
    <x v="19"/>
    <x v="2"/>
    <n v="1.7729918307633439"/>
    <x v="1"/>
  </r>
  <r>
    <x v="11"/>
    <x v="0"/>
    <x v="19"/>
    <x v="2"/>
    <n v="0.8908484729081585"/>
    <x v="1"/>
  </r>
  <r>
    <x v="12"/>
    <x v="0"/>
    <x v="19"/>
    <x v="2"/>
    <n v="0.29361559035474732"/>
    <x v="1"/>
  </r>
  <r>
    <x v="13"/>
    <x v="0"/>
    <x v="19"/>
    <x v="2"/>
    <n v="0.69372948459639883"/>
    <x v="1"/>
  </r>
  <r>
    <x v="14"/>
    <x v="0"/>
    <x v="19"/>
    <x v="1"/>
    <s v="-"/>
    <x v="1"/>
  </r>
  <r>
    <x v="15"/>
    <x v="0"/>
    <x v="19"/>
    <x v="2"/>
    <n v="0.51274459077175005"/>
    <x v="1"/>
  </r>
  <r>
    <x v="16"/>
    <x v="0"/>
    <x v="19"/>
    <x v="2"/>
    <n v="29.128399618562245"/>
    <x v="1"/>
  </r>
  <r>
    <x v="17"/>
    <x v="0"/>
    <x v="19"/>
    <x v="2"/>
    <n v="29354.076000000001"/>
    <x v="1"/>
  </r>
  <r>
    <x v="18"/>
    <x v="0"/>
    <x v="19"/>
    <x v="2"/>
    <n v="331"/>
    <x v="1"/>
  </r>
  <r>
    <x v="19"/>
    <x v="0"/>
    <x v="19"/>
    <x v="2"/>
    <n v="1.423775060471099"/>
    <x v="1"/>
  </r>
  <r>
    <x v="20"/>
    <x v="0"/>
    <x v="19"/>
    <x v="2"/>
    <n v="417.93599999999998"/>
    <x v="1"/>
  </r>
  <r>
    <x v="21"/>
    <x v="0"/>
    <x v="19"/>
    <x v="2"/>
    <n v="203.64159000000001"/>
    <x v="1"/>
  </r>
  <r>
    <x v="22"/>
    <x v="0"/>
    <x v="19"/>
    <x v="2"/>
    <n v="0.7300455758747002"/>
    <x v="1"/>
  </r>
  <r>
    <x v="0"/>
    <x v="0"/>
    <x v="20"/>
    <x v="0"/>
    <n v="0.10115805807742959"/>
    <x v="1"/>
  </r>
  <r>
    <x v="1"/>
    <x v="0"/>
    <x v="20"/>
    <x v="1"/>
    <m/>
    <x v="1"/>
  </r>
  <r>
    <x v="2"/>
    <x v="0"/>
    <x v="20"/>
    <x v="1"/>
    <m/>
    <x v="1"/>
  </r>
  <r>
    <x v="3"/>
    <x v="0"/>
    <x v="20"/>
    <x v="0"/>
    <n v="1.6499996704043347"/>
    <x v="1"/>
  </r>
  <r>
    <x v="4"/>
    <x v="0"/>
    <x v="20"/>
    <x v="1"/>
    <n v="1.4186525717626366"/>
    <x v="1"/>
  </r>
  <r>
    <x v="5"/>
    <x v="0"/>
    <x v="20"/>
    <x v="0"/>
    <n v="0.48040082852919075"/>
    <x v="1"/>
  </r>
  <r>
    <x v="6"/>
    <x v="0"/>
    <x v="20"/>
    <x v="0"/>
    <n v="0.12425350471170497"/>
    <x v="1"/>
  </r>
  <r>
    <x v="7"/>
    <x v="0"/>
    <x v="20"/>
    <x v="0"/>
    <n v="8.0000057216109532E-2"/>
    <x v="1"/>
  </r>
  <r>
    <x v="8"/>
    <x v="0"/>
    <x v="20"/>
    <x v="0"/>
    <n v="0.19987668648053705"/>
    <x v="1"/>
  </r>
  <r>
    <x v="9"/>
    <x v="0"/>
    <x v="20"/>
    <x v="0"/>
    <n v="4.7139948767488442E-2"/>
    <x v="1"/>
  </r>
  <r>
    <x v="10"/>
    <x v="0"/>
    <x v="20"/>
    <x v="2"/>
    <n v="1.7711577374411445"/>
    <x v="1"/>
  </r>
  <r>
    <x v="11"/>
    <x v="0"/>
    <x v="20"/>
    <x v="2"/>
    <n v="0.88143563926264701"/>
    <x v="1"/>
  </r>
  <r>
    <x v="12"/>
    <x v="0"/>
    <x v="20"/>
    <x v="2"/>
    <n v="0.29255152051600308"/>
    <x v="1"/>
  </r>
  <r>
    <x v="13"/>
    <x v="0"/>
    <x v="20"/>
    <x v="2"/>
    <n v="0.69372253008553952"/>
    <x v="1"/>
  </r>
  <r>
    <x v="14"/>
    <x v="0"/>
    <x v="20"/>
    <x v="1"/>
    <s v="-"/>
    <x v="1"/>
  </r>
  <r>
    <x v="15"/>
    <x v="0"/>
    <x v="20"/>
    <x v="2"/>
    <n v="0.50697825219993264"/>
    <x v="1"/>
  </r>
  <r>
    <x v="16"/>
    <x v="0"/>
    <x v="20"/>
    <x v="2"/>
    <n v="29.656559813590974"/>
    <x v="1"/>
  </r>
  <r>
    <x v="17"/>
    <x v="0"/>
    <x v="20"/>
    <x v="2"/>
    <n v="24158.704870000001"/>
    <x v="1"/>
  </r>
  <r>
    <x v="18"/>
    <x v="0"/>
    <x v="20"/>
    <x v="2"/>
    <n v="285"/>
    <x v="1"/>
  </r>
  <r>
    <x v="19"/>
    <x v="0"/>
    <x v="20"/>
    <x v="2"/>
    <n v="1.4077154008086903"/>
    <x v="1"/>
  </r>
  <r>
    <x v="20"/>
    <x v="0"/>
    <x v="20"/>
    <x v="2"/>
    <n v="340.08499999999998"/>
    <x v="1"/>
  </r>
  <r>
    <x v="21"/>
    <x v="0"/>
    <x v="20"/>
    <x v="2"/>
    <n v="167.66900000000001"/>
    <x v="1"/>
  </r>
  <r>
    <x v="22"/>
    <x v="0"/>
    <x v="20"/>
    <x v="2"/>
    <n v="0.71399287072315076"/>
    <x v="1"/>
  </r>
  <r>
    <x v="0"/>
    <x v="0"/>
    <x v="21"/>
    <x v="0"/>
    <n v="0.10608143804112372"/>
    <x v="1"/>
  </r>
  <r>
    <x v="1"/>
    <x v="0"/>
    <x v="21"/>
    <x v="1"/>
    <m/>
    <x v="1"/>
  </r>
  <r>
    <x v="2"/>
    <x v="0"/>
    <x v="21"/>
    <x v="1"/>
    <m/>
    <x v="1"/>
  </r>
  <r>
    <x v="3"/>
    <x v="0"/>
    <x v="21"/>
    <x v="0"/>
    <n v="1.6500006986495737"/>
    <x v="1"/>
  </r>
  <r>
    <x v="4"/>
    <x v="0"/>
    <x v="21"/>
    <x v="1"/>
    <n v="1.3897746735312122"/>
    <x v="1"/>
  </r>
  <r>
    <x v="5"/>
    <x v="0"/>
    <x v="21"/>
    <x v="0"/>
    <n v="0.49088705686093065"/>
    <x v="1"/>
  </r>
  <r>
    <x v="6"/>
    <x v="0"/>
    <x v="21"/>
    <x v="0"/>
    <n v="0.12979576083607378"/>
    <x v="1"/>
  </r>
  <r>
    <x v="7"/>
    <x v="0"/>
    <x v="21"/>
    <x v="0"/>
    <n v="8.0000012624964381E-2"/>
    <x v="1"/>
  </r>
  <r>
    <x v="8"/>
    <x v="0"/>
    <x v="21"/>
    <x v="0"/>
    <n v="0.21484399391700329"/>
    <x v="1"/>
  </r>
  <r>
    <x v="9"/>
    <x v="0"/>
    <x v="21"/>
    <x v="0"/>
    <n v="4.8331018154824885E-2"/>
    <x v="1"/>
  </r>
  <r>
    <x v="10"/>
    <x v="0"/>
    <x v="21"/>
    <x v="2"/>
    <n v="1.7760849360862894"/>
    <x v="1"/>
  </r>
  <r>
    <x v="11"/>
    <x v="0"/>
    <x v="21"/>
    <x v="2"/>
    <n v="0.91181530083961415"/>
    <x v="1"/>
  </r>
  <r>
    <x v="12"/>
    <x v="0"/>
    <x v="21"/>
    <x v="2"/>
    <n v="0.3042110164276145"/>
    <x v="1"/>
  </r>
  <r>
    <x v="13"/>
    <x v="0"/>
    <x v="21"/>
    <x v="2"/>
    <n v="0.72089064970761374"/>
    <x v="1"/>
  </r>
  <r>
    <x v="14"/>
    <x v="0"/>
    <x v="21"/>
    <x v="1"/>
    <s v="-"/>
    <x v="1"/>
  </r>
  <r>
    <x v="15"/>
    <x v="0"/>
    <x v="21"/>
    <x v="2"/>
    <n v="0.48890692492814336"/>
    <x v="1"/>
  </r>
  <r>
    <x v="16"/>
    <x v="0"/>
    <x v="21"/>
    <x v="2"/>
    <n v="28.28015961507813"/>
    <x v="1"/>
  </r>
  <r>
    <x v="17"/>
    <x v="0"/>
    <x v="21"/>
    <x v="2"/>
    <n v="18614.824089999998"/>
    <x v="1"/>
  </r>
  <r>
    <x v="18"/>
    <x v="0"/>
    <x v="21"/>
    <x v="2"/>
    <n v="244"/>
    <x v="1"/>
  </r>
  <r>
    <x v="19"/>
    <x v="0"/>
    <x v="21"/>
    <x v="2"/>
    <n v="1.411786349330715"/>
    <x v="1"/>
  </r>
  <r>
    <x v="20"/>
    <x v="0"/>
    <x v="21"/>
    <x v="2"/>
    <n v="262.80154545454502"/>
    <x v="1"/>
  </r>
  <r>
    <x v="21"/>
    <x v="0"/>
    <x v="21"/>
    <x v="2"/>
    <n v="134.31604999999999"/>
    <x v="1"/>
  </r>
  <r>
    <x v="22"/>
    <x v="0"/>
    <x v="21"/>
    <x v="2"/>
    <n v="0.69089569962310127"/>
    <x v="1"/>
  </r>
  <r>
    <x v="0"/>
    <x v="0"/>
    <x v="22"/>
    <x v="0"/>
    <n v="0.1049773720393629"/>
    <x v="1"/>
  </r>
  <r>
    <x v="1"/>
    <x v="0"/>
    <x v="22"/>
    <x v="1"/>
    <m/>
    <x v="1"/>
  </r>
  <r>
    <x v="2"/>
    <x v="0"/>
    <x v="22"/>
    <x v="1"/>
    <m/>
    <x v="1"/>
  </r>
  <r>
    <x v="3"/>
    <x v="0"/>
    <x v="22"/>
    <x v="0"/>
    <n v="1.650000718752874"/>
    <x v="1"/>
  </r>
  <r>
    <x v="4"/>
    <x v="0"/>
    <x v="22"/>
    <x v="1"/>
    <n v="1.3905701759998361"/>
    <x v="1"/>
  </r>
  <r>
    <x v="5"/>
    <x v="0"/>
    <x v="22"/>
    <x v="0"/>
    <n v="0.5088440883537676"/>
    <x v="1"/>
  </r>
  <r>
    <x v="6"/>
    <x v="0"/>
    <x v="22"/>
    <x v="0"/>
    <n v="0.12815633909813381"/>
    <x v="1"/>
  </r>
  <r>
    <x v="7"/>
    <x v="0"/>
    <x v="22"/>
    <x v="0"/>
    <n v="8.0000112063348158E-2"/>
    <x v="1"/>
  </r>
  <r>
    <x v="8"/>
    <x v="0"/>
    <x v="22"/>
    <x v="0"/>
    <n v="0.22934353424053358"/>
    <x v="1"/>
  </r>
  <r>
    <x v="9"/>
    <x v="0"/>
    <x v="22"/>
    <x v="0"/>
    <n v="4.8051932094120807E-2"/>
    <x v="1"/>
  </r>
  <r>
    <x v="10"/>
    <x v="0"/>
    <x v="22"/>
    <x v="2"/>
    <n v="1.7749780894701934"/>
    <x v="1"/>
  </r>
  <r>
    <x v="11"/>
    <x v="0"/>
    <x v="22"/>
    <x v="2"/>
    <n v="0.94316510537496856"/>
    <x v="1"/>
  </r>
  <r>
    <x v="12"/>
    <x v="0"/>
    <x v="22"/>
    <x v="2"/>
    <n v="0.30118564190957392"/>
    <x v="1"/>
  </r>
  <r>
    <x v="13"/>
    <x v="0"/>
    <x v="22"/>
    <x v="2"/>
    <n v="0.73783442525276244"/>
    <x v="1"/>
  </r>
  <r>
    <x v="14"/>
    <x v="0"/>
    <x v="22"/>
    <x v="1"/>
    <s v="-"/>
    <x v="1"/>
  </r>
  <r>
    <x v="15"/>
    <x v="0"/>
    <x v="22"/>
    <x v="2"/>
    <n v="0.47610371976648502"/>
    <x v="1"/>
  </r>
  <r>
    <x v="16"/>
    <x v="0"/>
    <x v="22"/>
    <x v="2"/>
    <n v="29.111612052701275"/>
    <x v="1"/>
  </r>
  <r>
    <x v="17"/>
    <x v="0"/>
    <x v="22"/>
    <x v="2"/>
    <n v="14901"/>
    <x v="1"/>
  </r>
  <r>
    <x v="18"/>
    <x v="0"/>
    <x v="22"/>
    <x v="2"/>
    <n v="190"/>
    <x v="1"/>
  </r>
  <r>
    <x v="19"/>
    <x v="0"/>
    <x v="22"/>
    <x v="2"/>
    <n v="1.4087666567088677"/>
    <x v="1"/>
  </r>
  <r>
    <x v="20"/>
    <x v="0"/>
    <x v="22"/>
    <x v="2"/>
    <n v="209.93"/>
    <x v="1"/>
  </r>
  <r>
    <x v="21"/>
    <x v="0"/>
    <x v="22"/>
    <x v="2"/>
    <n v="109.97915999999999"/>
    <x v="1"/>
  </r>
  <r>
    <x v="22"/>
    <x v="0"/>
    <x v="22"/>
    <x v="2"/>
    <n v="0.67093223145610525"/>
    <x v="1"/>
  </r>
  <r>
    <x v="0"/>
    <x v="0"/>
    <x v="23"/>
    <x v="0"/>
    <n v="0.1134985830563474"/>
    <x v="1"/>
  </r>
  <r>
    <x v="1"/>
    <x v="0"/>
    <x v="23"/>
    <x v="1"/>
    <m/>
    <x v="1"/>
  </r>
  <r>
    <x v="2"/>
    <x v="0"/>
    <x v="23"/>
    <x v="1"/>
    <m/>
    <x v="1"/>
  </r>
  <r>
    <x v="3"/>
    <x v="0"/>
    <x v="23"/>
    <x v="0"/>
    <n v="1.6499996731166102"/>
    <x v="1"/>
  </r>
  <r>
    <x v="4"/>
    <x v="0"/>
    <x v="23"/>
    <x v="1"/>
    <n v="1.3943220034641417"/>
    <x v="1"/>
  </r>
  <r>
    <x v="5"/>
    <x v="0"/>
    <x v="23"/>
    <x v="0"/>
    <n v="0.5326609328976204"/>
    <x v="1"/>
  </r>
  <r>
    <x v="6"/>
    <x v="0"/>
    <x v="23"/>
    <x v="0"/>
    <n v="0.13668376429735693"/>
    <x v="1"/>
  </r>
  <r>
    <x v="7"/>
    <x v="0"/>
    <x v="23"/>
    <x v="0"/>
    <n v="7.9999994242328468E-2"/>
    <x v="1"/>
  </r>
  <r>
    <x v="8"/>
    <x v="0"/>
    <x v="23"/>
    <x v="0"/>
    <n v="0.24970736261011262"/>
    <x v="1"/>
  </r>
  <r>
    <x v="9"/>
    <x v="0"/>
    <x v="23"/>
    <x v="0"/>
    <n v="5.0190007174217059E-2"/>
    <x v="1"/>
  </r>
  <r>
    <x v="10"/>
    <x v="0"/>
    <x v="23"/>
    <x v="2"/>
    <n v="1.783498280634549"/>
    <x v="1"/>
  </r>
  <r>
    <x v="11"/>
    <x v="0"/>
    <x v="23"/>
    <x v="2"/>
    <n v="0.99586689726800048"/>
    <x v="1"/>
  </r>
  <r>
    <x v="12"/>
    <x v="0"/>
    <x v="23"/>
    <x v="2"/>
    <n v="0.32037237898951293"/>
    <x v="1"/>
  </r>
  <r>
    <x v="13"/>
    <x v="0"/>
    <x v="23"/>
    <x v="2"/>
    <n v="0.77751570972590334"/>
    <x v="1"/>
  </r>
  <r>
    <x v="14"/>
    <x v="0"/>
    <x v="23"/>
    <x v="1"/>
    <s v="-"/>
    <x v="1"/>
  </r>
  <r>
    <x v="15"/>
    <x v="0"/>
    <x v="23"/>
    <x v="2"/>
    <n v="0.44231557984360659"/>
    <x v="1"/>
  </r>
  <r>
    <x v="16"/>
    <x v="0"/>
    <x v="23"/>
    <x v="2"/>
    <n v="26.432048041609676"/>
    <x v="1"/>
  </r>
  <r>
    <x v="17"/>
    <x v="0"/>
    <x v="23"/>
    <x v="2"/>
    <n v="12140.2918300087"/>
    <x v="1"/>
  </r>
  <r>
    <x v="18"/>
    <x v="0"/>
    <x v="23"/>
    <x v="2"/>
    <n v="160"/>
    <x v="1"/>
  </r>
  <r>
    <x v="19"/>
    <x v="0"/>
    <x v="23"/>
    <x v="2"/>
    <n v="1.3959798466607807"/>
    <x v="1"/>
  </r>
  <r>
    <x v="20"/>
    <x v="0"/>
    <x v="23"/>
    <x v="2"/>
    <n v="169.47602727272701"/>
    <x v="1"/>
  </r>
  <r>
    <x v="21"/>
    <x v="0"/>
    <x v="23"/>
    <x v="2"/>
    <n v="94.514139999999998"/>
    <x v="1"/>
  </r>
  <r>
    <x v="22"/>
    <x v="0"/>
    <x v="23"/>
    <x v="2"/>
    <n v="0.61667010867630667"/>
    <x v="1"/>
  </r>
  <r>
    <x v="0"/>
    <x v="0"/>
    <x v="24"/>
    <x v="0"/>
    <n v="0.11465800654931722"/>
    <x v="1"/>
  </r>
  <r>
    <x v="1"/>
    <x v="0"/>
    <x v="24"/>
    <x v="1"/>
    <m/>
    <x v="1"/>
  </r>
  <r>
    <x v="2"/>
    <x v="0"/>
    <x v="24"/>
    <x v="1"/>
    <m/>
    <x v="1"/>
  </r>
  <r>
    <x v="3"/>
    <x v="0"/>
    <x v="24"/>
    <x v="0"/>
    <n v="1.6500006428553062"/>
    <x v="1"/>
  </r>
  <r>
    <x v="4"/>
    <x v="0"/>
    <x v="24"/>
    <x v="1"/>
    <n v="1.4437298296415211"/>
    <x v="1"/>
  </r>
  <r>
    <x v="5"/>
    <x v="0"/>
    <x v="24"/>
    <x v="0"/>
    <n v="0.5315405627151043"/>
    <x v="1"/>
  </r>
  <r>
    <x v="6"/>
    <x v="0"/>
    <x v="24"/>
    <x v="0"/>
    <n v="0.13717955154056186"/>
    <x v="1"/>
  </r>
  <r>
    <x v="7"/>
    <x v="0"/>
    <x v="24"/>
    <x v="0"/>
    <n v="8.0000351243300113E-2"/>
    <x v="1"/>
  </r>
  <r>
    <x v="8"/>
    <x v="0"/>
    <x v="24"/>
    <x v="0"/>
    <n v="0.24494493611367371"/>
    <x v="1"/>
  </r>
  <r>
    <x v="9"/>
    <x v="0"/>
    <x v="24"/>
    <x v="0"/>
    <n v="5.06839603156677E-2"/>
    <x v="1"/>
  </r>
  <r>
    <x v="10"/>
    <x v="0"/>
    <x v="24"/>
    <x v="2"/>
    <n v="1.7846586041284072"/>
    <x v="1"/>
  </r>
  <r>
    <x v="11"/>
    <x v="0"/>
    <x v="24"/>
    <x v="2"/>
    <n v="0.99114381134517915"/>
    <x v="1"/>
  </r>
  <r>
    <x v="12"/>
    <x v="0"/>
    <x v="24"/>
    <x v="2"/>
    <n v="0.3225214731293306"/>
    <x v="1"/>
  </r>
  <r>
    <x v="13"/>
    <x v="0"/>
    <x v="24"/>
    <x v="2"/>
    <n v="0.78041740587610209"/>
    <x v="1"/>
  </r>
  <r>
    <x v="14"/>
    <x v="0"/>
    <x v="24"/>
    <x v="1"/>
    <s v="-"/>
    <x v="1"/>
  </r>
  <r>
    <x v="15"/>
    <x v="0"/>
    <x v="24"/>
    <x v="2"/>
    <n v="0.43828763568431839"/>
    <x v="1"/>
  </r>
  <r>
    <x v="16"/>
    <x v="0"/>
    <x v="24"/>
    <x v="2"/>
    <n v="26.756553008492872"/>
    <x v="1"/>
  </r>
  <r>
    <x v="17"/>
    <x v="0"/>
    <x v="24"/>
    <x v="2"/>
    <n v="8921.4889999999996"/>
    <x v="1"/>
  </r>
  <r>
    <x v="18"/>
    <x v="0"/>
    <x v="24"/>
    <x v="2"/>
    <n v="136"/>
    <x v="1"/>
  </r>
  <r>
    <x v="19"/>
    <x v="0"/>
    <x v="24"/>
    <x v="2"/>
    <n v="1.389454465198884"/>
    <x v="1"/>
  </r>
  <r>
    <x v="20"/>
    <x v="0"/>
    <x v="24"/>
    <x v="2"/>
    <n v="123.960027272727"/>
    <x v="1"/>
  </r>
  <r>
    <x v="21"/>
    <x v="0"/>
    <x v="24"/>
    <x v="2"/>
    <n v="69.62988"/>
    <x v="1"/>
  </r>
  <r>
    <x v="22"/>
    <x v="0"/>
    <x v="24"/>
    <x v="2"/>
    <n v="0.60903705932278196"/>
    <x v="1"/>
  </r>
  <r>
    <x v="0"/>
    <x v="0"/>
    <x v="25"/>
    <x v="0"/>
    <n v="0.10932788961224182"/>
    <x v="1"/>
  </r>
  <r>
    <x v="1"/>
    <x v="0"/>
    <x v="25"/>
    <x v="1"/>
    <m/>
    <x v="1"/>
  </r>
  <r>
    <x v="2"/>
    <x v="0"/>
    <x v="25"/>
    <x v="1"/>
    <m/>
    <x v="1"/>
  </r>
  <r>
    <x v="3"/>
    <x v="0"/>
    <x v="25"/>
    <x v="0"/>
    <n v="1.6500019740709742"/>
    <x v="1"/>
  </r>
  <r>
    <x v="4"/>
    <x v="0"/>
    <x v="25"/>
    <x v="1"/>
    <n v="1.4054137038303456"/>
    <x v="1"/>
  </r>
  <r>
    <x v="5"/>
    <x v="0"/>
    <x v="25"/>
    <x v="0"/>
    <n v="0.5292738914262316"/>
    <x v="1"/>
  </r>
  <r>
    <x v="6"/>
    <x v="0"/>
    <x v="25"/>
    <x v="0"/>
    <n v="0.12706444438757816"/>
    <x v="1"/>
  </r>
  <r>
    <x v="7"/>
    <x v="0"/>
    <x v="25"/>
    <x v="0"/>
    <n v="8.0000031560132134E-2"/>
    <x v="1"/>
  </r>
  <r>
    <x v="8"/>
    <x v="0"/>
    <x v="25"/>
    <x v="0"/>
    <n v="0.23986123901427961"/>
    <x v="1"/>
  </r>
  <r>
    <x v="9"/>
    <x v="0"/>
    <x v="25"/>
    <x v="0"/>
    <n v="4.9070505924394367E-2"/>
    <x v="1"/>
  </r>
  <r>
    <x v="10"/>
    <x v="0"/>
    <x v="25"/>
    <x v="2"/>
    <n v="1.7793298597441642"/>
    <x v="1"/>
  </r>
  <r>
    <x v="11"/>
    <x v="0"/>
    <x v="25"/>
    <x v="2"/>
    <n v="0.9784630476738333"/>
    <x v="1"/>
  </r>
  <r>
    <x v="12"/>
    <x v="0"/>
    <x v="25"/>
    <x v="2"/>
    <n v="0.30546283598516255"/>
    <x v="1"/>
  </r>
  <r>
    <x v="13"/>
    <x v="0"/>
    <x v="25"/>
    <x v="2"/>
    <n v="0.75379429956194588"/>
    <x v="1"/>
  </r>
  <r>
    <x v="14"/>
    <x v="0"/>
    <x v="25"/>
    <x v="1"/>
    <s v="-"/>
    <x v="1"/>
  </r>
  <r>
    <x v="15"/>
    <x v="0"/>
    <x v="25"/>
    <x v="2"/>
    <n v="0.45711594878896811"/>
    <x v="1"/>
  </r>
  <r>
    <x v="16"/>
    <x v="0"/>
    <x v="25"/>
    <x v="2"/>
    <n v="28.11945093981592"/>
    <x v="1"/>
  </r>
  <r>
    <x v="17"/>
    <x v="0"/>
    <x v="25"/>
    <x v="2"/>
    <n v="7523.3509999999997"/>
    <x v="1"/>
  </r>
  <r>
    <x v="18"/>
    <x v="0"/>
    <x v="25"/>
    <x v="2"/>
    <n v="111"/>
    <x v="1"/>
  </r>
  <r>
    <x v="19"/>
    <x v="0"/>
    <x v="25"/>
    <x v="2"/>
    <n v="1.3884996213840295"/>
    <x v="1"/>
  </r>
  <r>
    <x v="20"/>
    <x v="0"/>
    <x v="25"/>
    <x v="2"/>
    <n v="104.525063636364"/>
    <x v="1"/>
  </r>
  <r>
    <x v="21"/>
    <x v="0"/>
    <x v="25"/>
    <x v="2"/>
    <n v="56.744990000000001"/>
    <x v="1"/>
  </r>
  <r>
    <x v="22"/>
    <x v="0"/>
    <x v="25"/>
    <x v="2"/>
    <n v="0.63470532182208361"/>
    <x v="1"/>
  </r>
  <r>
    <x v="0"/>
    <x v="0"/>
    <x v="26"/>
    <x v="0"/>
    <n v="9.0311505974893624E-2"/>
    <x v="1"/>
  </r>
  <r>
    <x v="1"/>
    <x v="0"/>
    <x v="26"/>
    <x v="1"/>
    <m/>
    <x v="1"/>
  </r>
  <r>
    <x v="2"/>
    <x v="0"/>
    <x v="26"/>
    <x v="1"/>
    <m/>
    <x v="1"/>
  </r>
  <r>
    <x v="3"/>
    <x v="0"/>
    <x v="26"/>
    <x v="0"/>
    <n v="1.649999930814712"/>
    <x v="1"/>
  </r>
  <r>
    <x v="4"/>
    <x v="0"/>
    <x v="26"/>
    <x v="1"/>
    <n v="1.369236475998747"/>
    <x v="1"/>
  </r>
  <r>
    <x v="5"/>
    <x v="0"/>
    <x v="26"/>
    <x v="0"/>
    <n v="0.54282583714270527"/>
    <x v="1"/>
  </r>
  <r>
    <x v="6"/>
    <x v="0"/>
    <x v="26"/>
    <x v="0"/>
    <n v="0.11427584182784989"/>
    <x v="1"/>
  </r>
  <r>
    <x v="7"/>
    <x v="0"/>
    <x v="26"/>
    <x v="0"/>
    <n v="8.0000190440900482E-2"/>
    <x v="1"/>
  </r>
  <r>
    <x v="8"/>
    <x v="0"/>
    <x v="26"/>
    <x v="0"/>
    <n v="0.2096977353338578"/>
    <x v="1"/>
  </r>
  <r>
    <x v="9"/>
    <x v="0"/>
    <x v="26"/>
    <x v="0"/>
    <n v="4.5816407738570999E-2"/>
    <x v="1"/>
  </r>
  <r>
    <x v="10"/>
    <x v="0"/>
    <x v="26"/>
    <x v="2"/>
    <n v="1.7603114754157123"/>
    <x v="1"/>
  </r>
  <r>
    <x v="11"/>
    <x v="0"/>
    <x v="26"/>
    <x v="2"/>
    <n v="0.94283530751846389"/>
    <x v="1"/>
  </r>
  <r>
    <x v="12"/>
    <x v="0"/>
    <x v="26"/>
    <x v="2"/>
    <n v="0.27040379416742133"/>
    <x v="1"/>
  </r>
  <r>
    <x v="13"/>
    <x v="0"/>
    <x v="26"/>
    <x v="2"/>
    <n v="0.7574472718185602"/>
    <x v="1"/>
  </r>
  <r>
    <x v="14"/>
    <x v="0"/>
    <x v="26"/>
    <x v="1"/>
    <s v="-"/>
    <x v="1"/>
  </r>
  <r>
    <x v="15"/>
    <x v="0"/>
    <x v="26"/>
    <x v="2"/>
    <n v="0.44259646142867914"/>
    <x v="1"/>
  </r>
  <r>
    <x v="16"/>
    <x v="0"/>
    <x v="26"/>
    <x v="2"/>
    <n v="33.937061732835758"/>
    <x v="1"/>
  </r>
  <r>
    <x v="17"/>
    <x v="0"/>
    <x v="26"/>
    <x v="2"/>
    <n v="7539"/>
    <x v="1"/>
  </r>
  <r>
    <x v="18"/>
    <x v="0"/>
    <x v="26"/>
    <x v="2"/>
    <n v="93"/>
    <x v="1"/>
  </r>
  <r>
    <x v="19"/>
    <x v="0"/>
    <x v="26"/>
    <x v="2"/>
    <n v="1.3588849359657291"/>
    <x v="1"/>
  </r>
  <r>
    <x v="20"/>
    <x v="0"/>
    <x v="26"/>
    <x v="2"/>
    <n v="102.56"/>
    <x v="1"/>
  </r>
  <r>
    <x v="21"/>
    <x v="0"/>
    <x v="26"/>
    <x v="2"/>
    <n v="57.17"/>
    <x v="1"/>
  </r>
  <r>
    <x v="22"/>
    <x v="0"/>
    <x v="26"/>
    <x v="2"/>
    <n v="0.60143766414716893"/>
    <x v="1"/>
  </r>
  <r>
    <x v="0"/>
    <x v="0"/>
    <x v="27"/>
    <x v="0"/>
    <n v="9.7103792936998404E-2"/>
    <x v="1"/>
  </r>
  <r>
    <x v="1"/>
    <x v="0"/>
    <x v="27"/>
    <x v="1"/>
    <m/>
    <x v="1"/>
  </r>
  <r>
    <x v="2"/>
    <x v="0"/>
    <x v="27"/>
    <x v="1"/>
    <m/>
    <x v="1"/>
  </r>
  <r>
    <x v="3"/>
    <x v="0"/>
    <x v="27"/>
    <x v="0"/>
    <n v="1.9500016146977823"/>
    <x v="1"/>
  </r>
  <r>
    <x v="4"/>
    <x v="0"/>
    <x v="27"/>
    <x v="1"/>
    <n v="1.4500982353683376"/>
    <x v="1"/>
  </r>
  <r>
    <x v="5"/>
    <x v="0"/>
    <x v="27"/>
    <x v="0"/>
    <n v="0.54055063979090812"/>
    <x v="1"/>
  </r>
  <r>
    <x v="6"/>
    <x v="0"/>
    <x v="27"/>
    <x v="0"/>
    <n v="0.12625069452290097"/>
    <x v="1"/>
  </r>
  <r>
    <x v="7"/>
    <x v="0"/>
    <x v="27"/>
    <x v="0"/>
    <n v="7.9999822496659143E-2"/>
    <x v="1"/>
  </r>
  <r>
    <x v="8"/>
    <x v="0"/>
    <x v="27"/>
    <x v="0"/>
    <n v="0.22485169043554482"/>
    <x v="1"/>
  </r>
  <r>
    <x v="9"/>
    <x v="0"/>
    <x v="27"/>
    <x v="0"/>
    <n v="4.8116156422010115E-2"/>
    <x v="1"/>
  </r>
  <r>
    <x v="10"/>
    <x v="0"/>
    <x v="27"/>
    <x v="2"/>
    <n v="2.067105485921759"/>
    <x v="1"/>
  </r>
  <r>
    <x v="11"/>
    <x v="0"/>
    <x v="27"/>
    <x v="2"/>
    <n v="0.96250602394708895"/>
    <x v="1"/>
  </r>
  <r>
    <x v="12"/>
    <x v="0"/>
    <x v="27"/>
    <x v="2"/>
    <n v="0.29147072216888781"/>
    <x v="1"/>
  </r>
  <r>
    <x v="13"/>
    <x v="0"/>
    <x v="27"/>
    <x v="2"/>
    <n v="0.82011256608999406"/>
    <x v="1"/>
  </r>
  <r>
    <x v="14"/>
    <x v="0"/>
    <x v="27"/>
    <x v="1"/>
    <s v="-"/>
    <x v="1"/>
  </r>
  <r>
    <x v="15"/>
    <x v="0"/>
    <x v="27"/>
    <x v="2"/>
    <n v="0.35928360780703839"/>
    <x v="1"/>
  </r>
  <r>
    <x v="16"/>
    <x v="0"/>
    <x v="27"/>
    <x v="2"/>
    <n v="31.783513838980362"/>
    <x v="1"/>
  </r>
  <r>
    <x v="17"/>
    <x v="0"/>
    <x v="27"/>
    <x v="2"/>
    <n v="3294"/>
    <x v="1"/>
  </r>
  <r>
    <x v="18"/>
    <x v="0"/>
    <x v="27"/>
    <x v="2"/>
    <n v="72"/>
    <x v="1"/>
  </r>
  <r>
    <x v="19"/>
    <x v="0"/>
    <x v="27"/>
    <x v="2"/>
    <n v="1.279993107844515"/>
    <x v="1"/>
  </r>
  <r>
    <x v="20"/>
    <x v="0"/>
    <x v="27"/>
    <x v="2"/>
    <n v="42.3"/>
    <x v="1"/>
  </r>
  <r>
    <x v="21"/>
    <x v="0"/>
    <x v="27"/>
    <x v="2"/>
    <n v="27.06"/>
    <x v="1"/>
  </r>
  <r>
    <x v="22"/>
    <x v="0"/>
    <x v="27"/>
    <x v="2"/>
    <n v="0.45988054175452098"/>
    <x v="1"/>
  </r>
  <r>
    <x v="0"/>
    <x v="0"/>
    <x v="28"/>
    <x v="0"/>
    <n v="8.6599446369699476E-2"/>
    <x v="1"/>
  </r>
  <r>
    <x v="1"/>
    <x v="0"/>
    <x v="28"/>
    <x v="1"/>
    <m/>
    <x v="1"/>
  </r>
  <r>
    <x v="2"/>
    <x v="0"/>
    <x v="28"/>
    <x v="1"/>
    <m/>
    <x v="1"/>
  </r>
  <r>
    <x v="3"/>
    <x v="0"/>
    <x v="28"/>
    <x v="0"/>
    <n v="1.9502834706995986"/>
    <x v="1"/>
  </r>
  <r>
    <x v="4"/>
    <x v="0"/>
    <x v="28"/>
    <x v="1"/>
    <n v="1.45"/>
    <x v="1"/>
  </r>
  <r>
    <x v="5"/>
    <x v="0"/>
    <x v="28"/>
    <x v="0"/>
    <n v="0.51685014314400246"/>
    <x v="1"/>
  </r>
  <r>
    <x v="6"/>
    <x v="0"/>
    <x v="28"/>
    <x v="0"/>
    <n v="0.11823905939287145"/>
    <x v="1"/>
  </r>
  <r>
    <x v="7"/>
    <x v="0"/>
    <x v="28"/>
    <x v="0"/>
    <n v="8.0000413799747871E-2"/>
    <x v="1"/>
  </r>
  <r>
    <x v="8"/>
    <x v="0"/>
    <x v="28"/>
    <x v="0"/>
    <n v="0.18691609781682667"/>
    <x v="1"/>
  </r>
  <r>
    <x v="9"/>
    <x v="0"/>
    <x v="28"/>
    <x v="0"/>
    <n v="4.707551436316549E-2"/>
    <x v="1"/>
  </r>
  <r>
    <x v="10"/>
    <x v="0"/>
    <x v="28"/>
    <x v="2"/>
    <n v="2.0568829462062608"/>
    <x v="1"/>
  </r>
  <r>
    <x v="11"/>
    <x v="0"/>
    <x v="28"/>
    <x v="2"/>
    <n v="0.89036613026723932"/>
    <x v="1"/>
  </r>
  <r>
    <x v="12"/>
    <x v="0"/>
    <x v="28"/>
    <x v="2"/>
    <n v="0.27191404926269919"/>
    <x v="1"/>
  </r>
  <r>
    <x v="13"/>
    <x v="0"/>
    <x v="28"/>
    <x v="2"/>
    <n v="0.80742689522099353"/>
    <x v="1"/>
  </r>
  <r>
    <x v="14"/>
    <x v="0"/>
    <x v="28"/>
    <x v="1"/>
    <m/>
    <x v="1"/>
  </r>
  <r>
    <x v="15"/>
    <x v="0"/>
    <x v="28"/>
    <x v="2"/>
    <n v="0.39538432243387533"/>
    <x v="1"/>
  </r>
  <r>
    <x v="16"/>
    <x v="0"/>
    <x v="28"/>
    <x v="2"/>
    <n v="35.276492694788885"/>
    <x v="1"/>
  </r>
  <r>
    <x v="17"/>
    <x v="0"/>
    <x v="28"/>
    <x v="2"/>
    <n v="1755"/>
    <x v="1"/>
  </r>
  <r>
    <x v="18"/>
    <x v="0"/>
    <x v="28"/>
    <x v="2"/>
    <n v="36"/>
    <x v="1"/>
  </r>
  <r>
    <x v="19"/>
    <x v="0"/>
    <x v="28"/>
    <x v="2"/>
    <n v="1.3354382381735181"/>
    <x v="1"/>
  </r>
  <r>
    <x v="20"/>
    <x v="0"/>
    <x v="28"/>
    <x v="2"/>
    <n v="23.4"/>
    <x v="1"/>
  </r>
  <r>
    <x v="21"/>
    <x v="0"/>
    <x v="28"/>
    <x v="2"/>
    <n v="14.17"/>
    <x v="1"/>
  </r>
  <r>
    <x v="22"/>
    <x v="0"/>
    <x v="28"/>
    <x v="2"/>
    <n v="0.53"/>
    <x v="1"/>
  </r>
  <r>
    <x v="0"/>
    <x v="0"/>
    <x v="29"/>
    <x v="0"/>
    <n v="0.11284985761573603"/>
    <x v="1"/>
  </r>
  <r>
    <x v="1"/>
    <x v="0"/>
    <x v="29"/>
    <x v="1"/>
    <m/>
    <x v="1"/>
  </r>
  <r>
    <x v="2"/>
    <x v="0"/>
    <x v="29"/>
    <x v="1"/>
    <m/>
    <x v="1"/>
  </r>
  <r>
    <x v="3"/>
    <x v="0"/>
    <x v="29"/>
    <x v="0"/>
    <n v="1.9499986689319415"/>
    <x v="1"/>
  </r>
  <r>
    <x v="4"/>
    <x v="0"/>
    <x v="29"/>
    <x v="1"/>
    <m/>
    <x v="1"/>
  </r>
  <r>
    <x v="5"/>
    <x v="0"/>
    <x v="29"/>
    <x v="0"/>
    <n v="0.516799140875285"/>
    <x v="1"/>
  </r>
  <r>
    <x v="6"/>
    <x v="0"/>
    <x v="29"/>
    <x v="0"/>
    <n v="0.12996069805073801"/>
    <x v="1"/>
  </r>
  <r>
    <x v="7"/>
    <x v="0"/>
    <x v="29"/>
    <x v="0"/>
    <n v="8.0000826081456797E-2"/>
    <x v="1"/>
  </r>
  <r>
    <x v="8"/>
    <x v="0"/>
    <x v="29"/>
    <x v="0"/>
    <n v="0.20205952433197116"/>
    <x v="1"/>
  </r>
  <r>
    <x v="9"/>
    <x v="0"/>
    <x v="29"/>
    <x v="0"/>
    <n v="0.05"/>
    <x v="1"/>
  </r>
  <r>
    <x v="10"/>
    <x v="0"/>
    <x v="29"/>
    <x v="2"/>
    <n v="2.0821266497514386"/>
    <x v="1"/>
  </r>
  <r>
    <x v="11"/>
    <x v="0"/>
    <x v="29"/>
    <x v="2"/>
    <n v="0.9309874721082102"/>
    <x v="1"/>
  </r>
  <r>
    <x v="12"/>
    <x v="0"/>
    <x v="29"/>
    <x v="2"/>
    <n v="0.31341020586991591"/>
    <x v="1"/>
  </r>
  <r>
    <x v="13"/>
    <x v="0"/>
    <x v="29"/>
    <x v="2"/>
    <n v="0.77943022362291858"/>
    <x v="1"/>
  </r>
  <r>
    <x v="14"/>
    <x v="0"/>
    <x v="29"/>
    <x v="1"/>
    <m/>
    <x v="1"/>
  </r>
  <r>
    <x v="15"/>
    <x v="0"/>
    <x v="29"/>
    <x v="2"/>
    <n v="0.4353031331966829"/>
    <x v="1"/>
  </r>
  <r>
    <x v="16"/>
    <x v="0"/>
    <x v="29"/>
    <x v="2"/>
    <n v="27.260362300154718"/>
    <x v="1"/>
  </r>
  <r>
    <x v="17"/>
    <x v="0"/>
    <x v="29"/>
    <x v="2"/>
    <n v="630"/>
    <x v="1"/>
  </r>
  <r>
    <x v="18"/>
    <x v="0"/>
    <x v="29"/>
    <x v="2"/>
    <n v="24"/>
    <x v="1"/>
  </r>
  <r>
    <x v="19"/>
    <x v="0"/>
    <x v="29"/>
    <x v="2"/>
    <n v="1.3802634869177643"/>
    <x v="1"/>
  </r>
  <r>
    <x v="20"/>
    <x v="0"/>
    <x v="29"/>
    <x v="2"/>
    <n v="8.6999999999999993"/>
    <x v="1"/>
  </r>
  <r>
    <x v="21"/>
    <x v="0"/>
    <x v="29"/>
    <x v="2"/>
    <n v="4.9400000000000004"/>
    <x v="1"/>
  </r>
  <r>
    <x v="22"/>
    <x v="0"/>
    <x v="29"/>
    <x v="2"/>
    <n v="0.60083326329484577"/>
    <x v="1"/>
  </r>
  <r>
    <x v="0"/>
    <x v="0"/>
    <x v="30"/>
    <x v="0"/>
    <n v="0.119093669983524"/>
    <x v="1"/>
  </r>
  <r>
    <x v="1"/>
    <x v="0"/>
    <x v="30"/>
    <x v="1"/>
    <n v="0"/>
    <x v="1"/>
  </r>
  <r>
    <x v="2"/>
    <x v="0"/>
    <x v="30"/>
    <x v="1"/>
    <n v="0"/>
    <x v="1"/>
  </r>
  <r>
    <x v="3"/>
    <x v="0"/>
    <x v="30"/>
    <x v="0"/>
    <n v="1.9499858118972873"/>
    <x v="1"/>
  </r>
  <r>
    <x v="4"/>
    <x v="0"/>
    <x v="30"/>
    <x v="1"/>
    <m/>
    <x v="1"/>
  </r>
  <r>
    <x v="5"/>
    <x v="0"/>
    <x v="30"/>
    <x v="0"/>
    <n v="0.53040414883558551"/>
    <x v="1"/>
  </r>
  <r>
    <x v="6"/>
    <x v="0"/>
    <x v="30"/>
    <x v="0"/>
    <n v="0.14336131077815711"/>
    <x v="1"/>
  </r>
  <r>
    <x v="7"/>
    <x v="0"/>
    <x v="30"/>
    <x v="0"/>
    <n v="7.99999673575503E-2"/>
    <x v="1"/>
  </r>
  <r>
    <x v="8"/>
    <x v="0"/>
    <x v="30"/>
    <x v="0"/>
    <n v="0.21380433618592487"/>
    <x v="1"/>
  </r>
  <r>
    <x v="9"/>
    <x v="0"/>
    <x v="30"/>
    <x v="0"/>
    <n v="5.249006160811874E-2"/>
    <x v="1"/>
  </r>
  <r>
    <x v="10"/>
    <x v="0"/>
    <x v="30"/>
    <x v="2"/>
    <n v="2.0890786637009473"/>
    <x v="1"/>
  </r>
  <r>
    <x v="11"/>
    <x v="0"/>
    <x v="30"/>
    <x v="2"/>
    <n v="0.96330130418272053"/>
    <x v="1"/>
  </r>
  <r>
    <x v="12"/>
    <x v="0"/>
    <x v="30"/>
    <x v="2"/>
    <n v="0.33494422418993575"/>
    <x v="1"/>
  </r>
  <r>
    <x v="13"/>
    <x v="0"/>
    <x v="30"/>
    <x v="2"/>
    <n v="0.79711195184809425"/>
    <x v="1"/>
  </r>
  <r>
    <x v="14"/>
    <x v="0"/>
    <x v="30"/>
    <x v="1"/>
    <n v="0"/>
    <x v="1"/>
  </r>
  <r>
    <x v="15"/>
    <x v="0"/>
    <x v="30"/>
    <x v="2"/>
    <n v="0.4"/>
    <x v="1"/>
  </r>
  <r>
    <x v="16"/>
    <x v="0"/>
    <x v="30"/>
    <x v="2"/>
    <n v="25.712504997429892"/>
    <x v="1"/>
  </r>
  <r>
    <x v="17"/>
    <x v="0"/>
    <x v="30"/>
    <x v="2"/>
    <n v="450"/>
    <x v="1"/>
  </r>
  <r>
    <x v="18"/>
    <x v="0"/>
    <x v="30"/>
    <x v="2"/>
    <n v="23"/>
    <x v="1"/>
  </r>
  <r>
    <x v="19"/>
    <x v="0"/>
    <x v="30"/>
    <x v="2"/>
    <n v="1.3339021041153425"/>
    <x v="1"/>
  </r>
  <r>
    <x v="20"/>
    <x v="0"/>
    <x v="30"/>
    <x v="2"/>
    <n v="6"/>
    <x v="1"/>
  </r>
  <r>
    <x v="21"/>
    <x v="0"/>
    <x v="30"/>
    <x v="2"/>
    <n v="3.59"/>
    <x v="1"/>
  </r>
  <r>
    <x v="22"/>
    <x v="0"/>
    <x v="30"/>
    <x v="2"/>
    <n v="0.53679015226724824"/>
    <x v="1"/>
  </r>
  <r>
    <x v="0"/>
    <x v="0"/>
    <x v="31"/>
    <x v="0"/>
    <n v="0.15951845146833157"/>
    <x v="1"/>
  </r>
  <r>
    <x v="1"/>
    <x v="0"/>
    <x v="31"/>
    <x v="1"/>
    <n v="0"/>
    <x v="1"/>
  </r>
  <r>
    <x v="2"/>
    <x v="0"/>
    <x v="31"/>
    <x v="1"/>
    <n v="0"/>
    <x v="1"/>
  </r>
  <r>
    <x v="3"/>
    <x v="0"/>
    <x v="31"/>
    <x v="0"/>
    <n v="1.9500375007211679"/>
    <x v="1"/>
  </r>
  <r>
    <x v="4"/>
    <x v="0"/>
    <x v="31"/>
    <x v="1"/>
    <m/>
    <x v="1"/>
  </r>
  <r>
    <x v="5"/>
    <x v="0"/>
    <x v="31"/>
    <x v="0"/>
    <n v="0.54881151982810483"/>
    <x v="1"/>
  </r>
  <r>
    <x v="6"/>
    <x v="0"/>
    <x v="31"/>
    <x v="0"/>
    <n v="0.1927828956617689"/>
    <x v="1"/>
  </r>
  <r>
    <x v="7"/>
    <x v="0"/>
    <x v="31"/>
    <x v="0"/>
    <n v="8.0001922115263344E-2"/>
    <x v="1"/>
  </r>
  <r>
    <x v="8"/>
    <x v="0"/>
    <x v="31"/>
    <x v="0"/>
    <n v="0.25146086545417767"/>
    <x v="1"/>
  </r>
  <r>
    <x v="9"/>
    <x v="0"/>
    <x v="31"/>
    <x v="0"/>
    <n v="6.4188923779759363E-2"/>
    <x v="1"/>
  </r>
  <r>
    <x v="10"/>
    <x v="0"/>
    <x v="31"/>
    <x v="2"/>
    <n v="2.1295546849925251"/>
    <x v="1"/>
  </r>
  <r>
    <x v="11"/>
    <x v="0"/>
    <x v="31"/>
    <x v="2"/>
    <n v="1.0597914916689031"/>
    <x v="1"/>
  </r>
  <r>
    <x v="12"/>
    <x v="0"/>
    <x v="31"/>
    <x v="2"/>
    <n v="0.43648900371288535"/>
    <x v="1"/>
  </r>
  <r>
    <x v="13"/>
    <x v="0"/>
    <x v="31"/>
    <x v="2"/>
    <n v="0.85606429535221795"/>
    <x v="1"/>
  </r>
  <r>
    <x v="14"/>
    <x v="0"/>
    <x v="31"/>
    <x v="1"/>
    <n v="0"/>
    <x v="1"/>
  </r>
  <r>
    <x v="15"/>
    <x v="0"/>
    <x v="31"/>
    <x v="2"/>
    <n v="0.27651754065066281"/>
    <x v="1"/>
  </r>
  <r>
    <x v="16"/>
    <x v="0"/>
    <x v="31"/>
    <x v="2"/>
    <n v="19.11950400251138"/>
    <x v="1"/>
  </r>
  <r>
    <x v="17"/>
    <x v="0"/>
    <x v="31"/>
    <x v="2"/>
    <n v="243"/>
    <x v="1"/>
  </r>
  <r>
    <x v="18"/>
    <x v="0"/>
    <x v="31"/>
    <x v="2"/>
    <n v="14"/>
    <x v="1"/>
  </r>
  <r>
    <x v="19"/>
    <x v="0"/>
    <x v="31"/>
    <x v="2"/>
    <n v="1.1832550800500652"/>
    <x v="1"/>
  </r>
  <r>
    <x v="20"/>
    <x v="0"/>
    <x v="31"/>
    <x v="2"/>
    <n v="2.9"/>
    <x v="1"/>
  </r>
  <r>
    <x v="21"/>
    <x v="0"/>
    <x v="31"/>
    <x v="2"/>
    <n v="2.08"/>
    <x v="1"/>
  </r>
  <r>
    <x v="22"/>
    <x v="0"/>
    <x v="31"/>
    <x v="2"/>
    <n v="0.32719078469784724"/>
    <x v="1"/>
  </r>
  <r>
    <x v="0"/>
    <x v="0"/>
    <x v="32"/>
    <x v="0"/>
    <n v="0.24345247344832932"/>
    <x v="1"/>
  </r>
  <r>
    <x v="1"/>
    <x v="0"/>
    <x v="32"/>
    <x v="1"/>
    <n v="0"/>
    <x v="1"/>
  </r>
  <r>
    <x v="2"/>
    <x v="0"/>
    <x v="32"/>
    <x v="1"/>
    <n v="0"/>
    <x v="1"/>
  </r>
  <r>
    <x v="3"/>
    <x v="0"/>
    <x v="32"/>
    <x v="0"/>
    <n v="1.9500375007211679"/>
    <x v="1"/>
  </r>
  <r>
    <x v="4"/>
    <x v="0"/>
    <x v="32"/>
    <x v="1"/>
    <m/>
    <x v="1"/>
  </r>
  <r>
    <x v="5"/>
    <x v="0"/>
    <x v="32"/>
    <x v="0"/>
    <n v="0.54114139247789939"/>
    <x v="1"/>
  </r>
  <r>
    <x v="6"/>
    <x v="0"/>
    <x v="32"/>
    <x v="0"/>
    <n v="0.26524683088603301"/>
    <x v="1"/>
  </r>
  <r>
    <x v="7"/>
    <x v="0"/>
    <x v="32"/>
    <x v="0"/>
    <n v="7.9998605080992491E-2"/>
    <x v="1"/>
  </r>
  <r>
    <x v="8"/>
    <x v="0"/>
    <x v="32"/>
    <x v="0"/>
    <n v="0.3486251329532179"/>
    <x v="1"/>
  </r>
  <r>
    <x v="9"/>
    <x v="0"/>
    <x v="32"/>
    <x v="0"/>
    <n v="8.2775072878053288E-2"/>
    <x v="1"/>
  </r>
  <r>
    <x v="10"/>
    <x v="0"/>
    <x v="32"/>
    <x v="2"/>
    <n v="2.2134868336183158"/>
    <x v="1"/>
  </r>
  <r>
    <x v="11"/>
    <x v="0"/>
    <x v="32"/>
    <x v="2"/>
    <n v="1.2332144634092579"/>
    <x v="1"/>
  </r>
  <r>
    <x v="12"/>
    <x v="0"/>
    <x v="32"/>
    <x v="2"/>
    <n v="0.61147123666123426"/>
    <x v="1"/>
  </r>
  <r>
    <x v="13"/>
    <x v="0"/>
    <x v="32"/>
    <x v="2"/>
    <n v="1.0091145496312777"/>
    <x v="1"/>
  </r>
  <r>
    <x v="14"/>
    <x v="0"/>
    <x v="32"/>
    <x v="1"/>
    <n v="0"/>
    <x v="1"/>
  </r>
  <r>
    <x v="15"/>
    <x v="0"/>
    <x v="32"/>
    <x v="2"/>
    <n v="0.18"/>
    <x v="1"/>
  </r>
  <r>
    <x v="16"/>
    <x v="0"/>
    <x v="32"/>
    <x v="2"/>
    <n v="12.587473903966597"/>
    <x v="1"/>
  </r>
  <r>
    <x v="17"/>
    <x v="0"/>
    <x v="32"/>
    <x v="2"/>
    <n v="106"/>
    <x v="1"/>
  </r>
  <r>
    <x v="18"/>
    <x v="0"/>
    <x v="32"/>
    <x v="2"/>
    <n v="9"/>
    <x v="1"/>
  </r>
  <r>
    <x v="19"/>
    <x v="0"/>
    <x v="32"/>
    <x v="2"/>
    <n v="1.2319965271875923"/>
    <x v="1"/>
  </r>
  <r>
    <x v="20"/>
    <x v="0"/>
    <x v="32"/>
    <x v="2"/>
    <n v="1.3"/>
    <x v="1"/>
  </r>
  <r>
    <x v="21"/>
    <x v="0"/>
    <x v="32"/>
    <x v="2"/>
    <n v="1.07"/>
    <x v="1"/>
  </r>
  <r>
    <x v="22"/>
    <x v="0"/>
    <x v="32"/>
    <x v="2"/>
    <n v="0.22288197755631467"/>
    <x v="1"/>
  </r>
  <r>
    <x v="0"/>
    <x v="0"/>
    <x v="33"/>
    <x v="0"/>
    <n v="0.24524733680870353"/>
    <x v="1"/>
  </r>
  <r>
    <x v="1"/>
    <x v="0"/>
    <x v="33"/>
    <x v="1"/>
    <n v="0"/>
    <x v="1"/>
  </r>
  <r>
    <x v="2"/>
    <x v="0"/>
    <x v="33"/>
    <x v="1"/>
    <n v="0"/>
    <x v="1"/>
  </r>
  <r>
    <x v="3"/>
    <x v="0"/>
    <x v="33"/>
    <x v="0"/>
    <n v="1.9501808863430807"/>
    <x v="1"/>
  </r>
  <r>
    <x v="4"/>
    <x v="0"/>
    <x v="33"/>
    <x v="1"/>
    <m/>
    <x v="1"/>
  </r>
  <r>
    <x v="5"/>
    <x v="0"/>
    <x v="33"/>
    <x v="0"/>
    <n v="0.56991831431649465"/>
    <x v="1"/>
  </r>
  <r>
    <x v="6"/>
    <x v="0"/>
    <x v="33"/>
    <x v="0"/>
    <n v="0.27140248519530563"/>
    <x v="1"/>
  </r>
  <r>
    <x v="7"/>
    <x v="0"/>
    <x v="33"/>
    <x v="0"/>
    <n v="8.0009074807062555E-2"/>
    <x v="1"/>
  </r>
  <r>
    <x v="8"/>
    <x v="0"/>
    <x v="33"/>
    <x v="0"/>
    <n v="0.21734020676478505"/>
    <x v="1"/>
  </r>
  <r>
    <x v="9"/>
    <x v="0"/>
    <x v="33"/>
    <x v="0"/>
    <n v="8.0139949516792638E-2"/>
    <x v="1"/>
  </r>
  <r>
    <x v="10"/>
    <x v="0"/>
    <x v="33"/>
    <x v="2"/>
    <n v="2.2154356747075221"/>
    <x v="1"/>
  </r>
  <r>
    <x v="11"/>
    <x v="0"/>
    <x v="33"/>
    <x v="2"/>
    <n v="1.1325223842527836"/>
    <x v="1"/>
  </r>
  <r>
    <x v="12"/>
    <x v="0"/>
    <x v="33"/>
    <x v="2"/>
    <n v="0.61679722307653972"/>
    <x v="1"/>
  </r>
  <r>
    <x v="13"/>
    <x v="0"/>
    <x v="33"/>
    <x v="2"/>
    <n v="0.91557038254256062"/>
    <x v="1"/>
  </r>
  <r>
    <x v="14"/>
    <x v="0"/>
    <x v="33"/>
    <x v="1"/>
    <n v="0"/>
    <x v="1"/>
  </r>
  <r>
    <x v="15"/>
    <x v="0"/>
    <x v="33"/>
    <x v="2"/>
    <n v="0.24750459389930168"/>
    <x v="1"/>
  </r>
  <r>
    <x v="16"/>
    <x v="0"/>
    <x v="33"/>
    <x v="2"/>
    <n v="12.550238267148014"/>
    <x v="1"/>
  </r>
  <r>
    <x v="17"/>
    <x v="0"/>
    <x v="33"/>
    <x v="2"/>
    <n v="50"/>
    <x v="1"/>
  </r>
  <r>
    <x v="18"/>
    <x v="0"/>
    <x v="33"/>
    <x v="2"/>
    <n v="7"/>
    <x v="1"/>
  </r>
  <r>
    <x v="19"/>
    <x v="0"/>
    <x v="33"/>
    <x v="2"/>
    <n v="1.2167122551443719"/>
    <x v="1"/>
  </r>
  <r>
    <x v="20"/>
    <x v="0"/>
    <x v="33"/>
    <x v="2"/>
    <n v="0.6"/>
    <x v="1"/>
  </r>
  <r>
    <x v="21"/>
    <x v="0"/>
    <x v="33"/>
    <x v="2"/>
    <n v="0.47"/>
    <x v="1"/>
  </r>
  <r>
    <x v="22"/>
    <x v="0"/>
    <x v="33"/>
    <x v="2"/>
    <n v="0.3011418726018112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4090CF-0D27-4915-A30F-A9AED300DB28}" name="PivotTable6" cacheId="0" applyNumberFormats="0" applyBorderFormats="0" applyFontFormats="0" applyPatternFormats="0" applyAlignmentFormats="0" applyWidthHeightFormats="1" dataCaption="Values" grandTotalCaption="Avg" updatedVersion="8" minRefreshableVersion="3" useAutoFormatting="1" rowGrandTotals="0" itemPrintTitles="1" createdVersion="8" indent="0" compact="0" compactData="0" multipleFieldFilters="0">
  <location ref="B27:I41" firstHeaderRow="1" firstDataRow="2" firstDataCol="1" rowPageCount="1" colPageCount="1"/>
  <pivotFields count="4">
    <pivotField axis="axisRow" compact="0" outline="0" showAll="0">
      <items count="15">
        <item x="0"/>
        <item x="1"/>
        <item x="2"/>
        <item x="3"/>
        <item x="4"/>
        <item x="5"/>
        <item x="6"/>
        <item x="8"/>
        <item x="9"/>
        <item x="10"/>
        <item x="7"/>
        <item x="11"/>
        <item x="12"/>
        <item m="1" x="13"/>
        <item t="default"/>
      </items>
    </pivotField>
    <pivotField dataField="1" compact="0" outline="0" showAll="0"/>
    <pivotField axis="axisCol" compact="0" outline="0" showAll="0">
      <items count="14">
        <item x="11"/>
        <item x="10"/>
        <item x="9"/>
        <item x="8"/>
        <item x="7"/>
        <item x="6"/>
        <item x="5"/>
        <item x="4"/>
        <item x="3"/>
        <item m="1" x="12"/>
        <item x="2"/>
        <item x="1"/>
        <item x="0"/>
        <item t="default"/>
      </items>
    </pivotField>
    <pivotField axis="axisPage" compact="0" outline="0" showAll="0">
      <items count="4">
        <item x="0"/>
        <item h="1" x="1"/>
        <item h="1" m="1" x="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2"/>
  </colFields>
  <colItems count="7">
    <i>
      <x v="6"/>
    </i>
    <i>
      <x v="7"/>
    </i>
    <i>
      <x v="8"/>
    </i>
    <i>
      <x v="10"/>
    </i>
    <i>
      <x v="11"/>
    </i>
    <i>
      <x v="12"/>
    </i>
    <i t="grand">
      <x/>
    </i>
  </colItems>
  <pageFields count="1">
    <pageField fld="3" item="0" hier="-1"/>
  </pageFields>
  <dataFields count="1">
    <dataField name="WPAY KPI" fld="1" subtotal="average" baseField="0" baseItem="0"/>
  </dataFields>
  <formats count="23">
    <format dxfId="134">
      <pivotArea outline="0" fieldPosition="0">
        <references count="1">
          <reference field="0" count="3" selected="0">
            <x v="4"/>
            <x v="5"/>
            <x v="7"/>
          </reference>
        </references>
      </pivotArea>
    </format>
    <format dxfId="133">
      <pivotArea outline="0" fieldPosition="0">
        <references count="1">
          <reference field="2" count="1" selected="0">
            <x v="5"/>
          </reference>
        </references>
      </pivotArea>
    </format>
    <format dxfId="132">
      <pivotArea grandCol="1" outline="0" collapsedLevelsAreSubtotals="1" fieldPosition="0"/>
    </format>
    <format dxfId="131">
      <pivotArea outline="0" fieldPosition="0">
        <references count="1">
          <reference field="0" count="1" selected="0">
            <x v="2"/>
          </reference>
        </references>
      </pivotArea>
    </format>
    <format dxfId="130">
      <pivotArea outline="0" fieldPosition="0">
        <references count="1">
          <reference field="2" count="1" selected="0">
            <x v="5"/>
          </reference>
        </references>
      </pivotArea>
    </format>
    <format dxfId="129">
      <pivotArea outline="0" fieldPosition="0">
        <references count="1">
          <reference field="2" count="1" selected="0">
            <x v="6"/>
          </reference>
        </references>
      </pivotArea>
    </format>
    <format dxfId="128">
      <pivotArea outline="0" fieldPosition="0">
        <references count="2">
          <reference field="0" count="1" selected="0">
            <x v="10"/>
          </reference>
          <reference field="2" count="1" selected="0">
            <x v="6"/>
          </reference>
        </references>
      </pivotArea>
    </format>
    <format dxfId="127">
      <pivotArea outline="0" fieldPosition="0">
        <references count="1">
          <reference field="2" count="1" selected="0">
            <x v="6"/>
          </reference>
        </references>
      </pivotArea>
    </format>
    <format dxfId="126">
      <pivotArea outline="0" fieldPosition="0">
        <references count="1">
          <reference field="2" count="1" selected="0">
            <x v="7"/>
          </reference>
        </references>
      </pivotArea>
    </format>
    <format dxfId="125">
      <pivotArea outline="0" fieldPosition="0">
        <references count="1">
          <reference field="2" count="1" selected="0">
            <x v="8"/>
          </reference>
        </references>
      </pivotArea>
    </format>
    <format dxfId="124">
      <pivotArea outline="0" fieldPosition="0">
        <references count="1">
          <reference field="2" count="2" selected="0">
            <x v="6"/>
            <x v="7"/>
          </reference>
        </references>
      </pivotArea>
    </format>
    <format dxfId="123">
      <pivotArea outline="0" fieldPosition="0">
        <references count="1">
          <reference field="2" count="1" selected="0">
            <x v="10"/>
          </reference>
        </references>
      </pivotArea>
    </format>
    <format dxfId="122">
      <pivotArea outline="0" fieldPosition="0">
        <references count="1">
          <reference field="2" count="1" selected="0">
            <x v="8"/>
          </reference>
        </references>
      </pivotArea>
    </format>
    <format dxfId="121">
      <pivotArea outline="0" fieldPosition="0">
        <references count="1">
          <reference field="2" count="1" selected="0">
            <x v="10"/>
          </reference>
        </references>
      </pivotArea>
    </format>
    <format dxfId="120">
      <pivotArea outline="0" fieldPosition="0">
        <references count="1">
          <reference field="0" count="1" selected="0">
            <x v="1"/>
          </reference>
        </references>
      </pivotArea>
    </format>
    <format dxfId="119">
      <pivotArea outline="0" fieldPosition="0">
        <references count="1">
          <reference field="0" count="2" selected="0">
            <x v="11"/>
            <x v="12"/>
          </reference>
        </references>
      </pivotArea>
    </format>
    <format dxfId="118">
      <pivotArea outline="0" fieldPosition="0">
        <references count="2">
          <reference field="0" count="1" selected="0">
            <x v="8"/>
          </reference>
          <reference field="2" count="1" selected="0">
            <x v="11"/>
          </reference>
        </references>
      </pivotArea>
    </format>
    <format dxfId="117">
      <pivotArea outline="0" fieldPosition="0">
        <references count="2">
          <reference field="0" count="1" selected="0">
            <x v="6"/>
          </reference>
          <reference field="2" count="1" selected="0">
            <x v="11"/>
          </reference>
        </references>
      </pivotArea>
    </format>
    <format dxfId="116">
      <pivotArea outline="0" fieldPosition="0">
        <references count="2">
          <reference field="0" count="1" selected="0">
            <x v="2"/>
          </reference>
          <reference field="2" count="1" selected="0">
            <x v="11"/>
          </reference>
        </references>
      </pivotArea>
    </format>
    <format dxfId="115">
      <pivotArea outline="0" fieldPosition="0">
        <references count="1">
          <reference field="0" count="1" selected="0">
            <x v="3"/>
          </reference>
        </references>
      </pivotArea>
    </format>
    <format dxfId="114">
      <pivotArea outline="0" fieldPosition="0">
        <references count="1">
          <reference field="2" count="1" selected="0">
            <x v="12"/>
          </reference>
        </references>
      </pivotArea>
    </format>
    <format dxfId="113">
      <pivotArea outline="0" fieldPosition="0">
        <references count="2">
          <reference field="0" count="1" selected="0">
            <x v="8"/>
          </reference>
          <reference field="2" count="1" selected="0">
            <x v="12"/>
          </reference>
        </references>
      </pivotArea>
    </format>
    <format dxfId="112">
      <pivotArea outline="0" fieldPosition="0">
        <references count="2">
          <reference field="0" count="1" selected="0">
            <x v="2"/>
          </reference>
          <reference field="2" count="1" selected="0">
            <x v="12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284A8D-A065-4DF1-B0F3-B91EFA222098}" name="PivotTable1" cacheId="2" applyNumberFormats="0" applyBorderFormats="0" applyFontFormats="0" applyPatternFormats="0" applyAlignmentFormats="0" applyWidthHeightFormats="1" dataCaption="Values" grandTotalCaption="Avg." updatedVersion="8" minRefreshableVersion="3" rowGrandTotals="0" itemPrintTitles="1" createdVersion="8" indent="0" outline="1" outlineData="1" multipleFieldFilters="0" chartFormat="5" rowHeaderCaption="KPI" colHeaderCaption="Month.">
  <location ref="B5:I18" firstHeaderRow="1" firstDataRow="2" firstDataCol="1" rowPageCount="3" colPageCount="1"/>
  <pivotFields count="6">
    <pivotField axis="axisRow" showAll="0">
      <items count="43">
        <item x="14"/>
        <item m="1" x="30"/>
        <item x="18"/>
        <item x="17"/>
        <item x="16"/>
        <item x="15"/>
        <item x="19"/>
        <item x="1"/>
        <item x="2"/>
        <item x="4"/>
        <item x="7"/>
        <item x="3"/>
        <item m="1" x="37"/>
        <item m="1" x="32"/>
        <item x="12"/>
        <item x="6"/>
        <item m="1" x="26"/>
        <item m="1" x="27"/>
        <item x="5"/>
        <item m="1" x="40"/>
        <item m="1" x="38"/>
        <item x="22"/>
        <item m="1" x="41"/>
        <item m="1" x="39"/>
        <item x="11"/>
        <item x="10"/>
        <item m="1" x="36"/>
        <item x="13"/>
        <item x="20"/>
        <item x="21"/>
        <item m="1" x="31"/>
        <item x="9"/>
        <item x="8"/>
        <item m="1" x="29"/>
        <item m="1" x="33"/>
        <item x="0"/>
        <item m="1" x="23"/>
        <item m="1" x="24"/>
        <item m="1" x="25"/>
        <item m="1" x="28"/>
        <item m="1" x="34"/>
        <item m="1" x="35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45">
        <item x="33"/>
        <item x="32"/>
        <item x="31"/>
        <item x="30"/>
        <item x="29"/>
        <item x="28"/>
        <item x="27"/>
        <item n="12 Dec" x="26"/>
        <item x="25"/>
        <item m="1" x="42"/>
        <item x="24"/>
        <item x="23"/>
        <item m="1" x="43"/>
        <item x="22"/>
        <item x="21"/>
        <item m="1" x="4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m="1" x="40"/>
        <item m="1" x="39"/>
        <item m="1" x="38"/>
        <item m="1" x="37"/>
        <item m="1" x="36"/>
        <item m="1" x="35"/>
        <item m="1" x="34"/>
        <item x="7"/>
        <item x="6"/>
        <item x="5"/>
        <item x="4"/>
        <item x="3"/>
        <item x="2"/>
        <item x="1"/>
        <item x="0"/>
        <item t="default"/>
      </items>
    </pivotField>
    <pivotField axis="axisPage" multipleItemSelectionAllowed="1" showAll="0">
      <items count="24">
        <item h="1" x="1"/>
        <item h="1" x="0"/>
        <item x="2"/>
        <item h="1" m="1" x="18"/>
        <item h="1" m="1" x="3"/>
        <item h="1" m="1" x="9"/>
        <item h="1" m="1" x="19"/>
        <item h="1" m="1" x="11"/>
        <item h="1" m="1" x="4"/>
        <item h="1" m="1" x="6"/>
        <item h="1" m="1" x="16"/>
        <item h="1" m="1" x="15"/>
        <item h="1" m="1" x="8"/>
        <item h="1" m="1" x="7"/>
        <item h="1" m="1" x="20"/>
        <item h="1" m="1" x="10"/>
        <item h="1" m="1" x="13"/>
        <item h="1" m="1" x="22"/>
        <item h="1" m="1" x="14"/>
        <item h="1" m="1" x="17"/>
        <item h="1" m="1" x="5"/>
        <item h="1" m="1" x="21"/>
        <item h="1" m="1" x="12"/>
        <item t="default"/>
      </items>
    </pivotField>
    <pivotField dataField="1" showAll="0"/>
    <pivotField axis="axisPage" showAll="0">
      <items count="3">
        <item x="1"/>
        <item x="0"/>
        <item t="default"/>
      </items>
    </pivotField>
  </pivotFields>
  <rowFields count="1">
    <field x="0"/>
  </rowFields>
  <rowItems count="12">
    <i>
      <x v="2"/>
    </i>
    <i>
      <x v="3"/>
    </i>
    <i>
      <x v="4"/>
    </i>
    <i>
      <x v="5"/>
    </i>
    <i>
      <x v="6"/>
    </i>
    <i>
      <x v="14"/>
    </i>
    <i>
      <x v="21"/>
    </i>
    <i>
      <x v="24"/>
    </i>
    <i>
      <x v="25"/>
    </i>
    <i>
      <x v="27"/>
    </i>
    <i>
      <x v="28"/>
    </i>
    <i>
      <x v="29"/>
    </i>
  </rowItems>
  <colFields count="1">
    <field x="2"/>
  </colFields>
  <colItems count="7">
    <i>
      <x v="38"/>
    </i>
    <i>
      <x v="39"/>
    </i>
    <i>
      <x v="40"/>
    </i>
    <i>
      <x v="41"/>
    </i>
    <i>
      <x v="42"/>
    </i>
    <i>
      <x v="43"/>
    </i>
    <i t="grand">
      <x/>
    </i>
  </colItems>
  <pageFields count="3">
    <pageField fld="3" hier="-1"/>
    <pageField fld="1" hier="-1"/>
    <pageField fld="5" item="1" hier="-1"/>
  </pageFields>
  <dataFields count="1">
    <dataField name="Adyen and Adyen Balance" fld="4" subtotal="average" baseField="0" baseItem="0" numFmtId="167"/>
  </dataFields>
  <formats count="146">
    <format dxfId="280">
      <pivotArea collapsedLevelsAreSubtotals="1" fieldPosition="0">
        <references count="1">
          <reference field="0" count="1">
            <x v="34"/>
          </reference>
        </references>
      </pivotArea>
    </format>
    <format dxfId="279">
      <pivotArea collapsedLevelsAreSubtotals="1" fieldPosition="0">
        <references count="2">
          <reference field="0" count="1">
            <x v="5"/>
          </reference>
          <reference field="2" count="0" selected="0"/>
        </references>
      </pivotArea>
    </format>
    <format dxfId="278">
      <pivotArea collapsedLevelsAreSubtotals="1" fieldPosition="0">
        <references count="1">
          <reference field="0" count="3">
            <x v="1"/>
            <x v="13"/>
            <x v="30"/>
          </reference>
        </references>
      </pivotArea>
    </format>
    <format dxfId="277">
      <pivotArea collapsedLevelsAreSubtotals="1" fieldPosition="0">
        <references count="1">
          <reference field="0" count="1">
            <x v="3"/>
          </reference>
        </references>
      </pivotArea>
    </format>
    <format dxfId="276">
      <pivotArea dataOnly="0" labelOnly="1" fieldPosition="0">
        <references count="1">
          <reference field="2" count="0"/>
        </references>
      </pivotArea>
    </format>
    <format dxfId="275">
      <pivotArea dataOnly="0" labelOnly="1" grandCol="1" outline="0" fieldPosition="0"/>
    </format>
    <format dxfId="274">
      <pivotArea field="0" grandCol="1" collapsedLevelsAreSubtotals="1" axis="axisRow" fieldPosition="0">
        <references count="1">
          <reference field="0" count="1">
            <x v="5"/>
          </reference>
        </references>
      </pivotArea>
    </format>
    <format dxfId="273">
      <pivotArea collapsedLevelsAreSubtotals="1" fieldPosition="0">
        <references count="2">
          <reference field="0" count="1">
            <x v="34"/>
          </reference>
          <reference field="2" count="1" selected="0">
            <x v="4"/>
          </reference>
        </references>
      </pivotArea>
    </format>
    <format dxfId="272">
      <pivotArea collapsedLevelsAreSubtotals="1" fieldPosition="0">
        <references count="1">
          <reference field="0" count="1">
            <x v="5"/>
          </reference>
        </references>
      </pivotArea>
    </format>
    <format dxfId="271">
      <pivotArea collapsedLevelsAreSubtotals="1" fieldPosition="0">
        <references count="2">
          <reference field="0" count="1">
            <x v="2"/>
          </reference>
          <reference field="2" count="0" selected="0"/>
        </references>
      </pivotArea>
    </format>
    <format dxfId="270">
      <pivotArea collapsedLevelsAreSubtotals="1" fieldPosition="0">
        <references count="1">
          <reference field="0" count="1">
            <x v="6"/>
          </reference>
        </references>
      </pivotArea>
    </format>
    <format dxfId="269">
      <pivotArea collapsedLevelsAreSubtotals="1" fieldPosition="0">
        <references count="1">
          <reference field="0" count="1">
            <x v="6"/>
          </reference>
        </references>
      </pivotArea>
    </format>
    <format dxfId="268">
      <pivotArea collapsedLevelsAreSubtotals="1" fieldPosition="0">
        <references count="1">
          <reference field="0" count="1">
            <x v="6"/>
          </reference>
        </references>
      </pivotArea>
    </format>
    <format dxfId="267">
      <pivotArea collapsedLevelsAreSubtotals="1" fieldPosition="0">
        <references count="1">
          <reference field="0" count="1">
            <x v="6"/>
          </reference>
        </references>
      </pivotArea>
    </format>
    <format dxfId="266">
      <pivotArea outline="0" collapsedLevelsAreSubtotals="1" fieldPosition="0">
        <references count="1">
          <reference field="2" count="1" selected="0">
            <x v="4"/>
          </reference>
        </references>
      </pivotArea>
    </format>
    <format dxfId="265">
      <pivotArea collapsedLevelsAreSubtotals="1" fieldPosition="0">
        <references count="2">
          <reference field="0" count="1">
            <x v="4"/>
          </reference>
          <reference field="2" count="1" selected="0">
            <x v="5"/>
          </reference>
        </references>
      </pivotArea>
    </format>
    <format dxfId="264">
      <pivotArea outline="0" collapsedLevelsAreSubtotals="1" fieldPosition="0">
        <references count="1">
          <reference field="2" count="1" selected="0">
            <x v="5"/>
          </reference>
        </references>
      </pivotArea>
    </format>
    <format dxfId="263">
      <pivotArea collapsedLevelsAreSubtotals="1" fieldPosition="0">
        <references count="2">
          <reference field="0" count="1">
            <x v="28"/>
          </reference>
          <reference field="2" count="1" selected="0">
            <x v="6"/>
          </reference>
        </references>
      </pivotArea>
    </format>
    <format dxfId="262">
      <pivotArea collapsedLevelsAreSubtotals="1" fieldPosition="0">
        <references count="2">
          <reference field="0" count="1">
            <x v="5"/>
          </reference>
          <reference field="2" count="1" selected="0">
            <x v="6"/>
          </reference>
        </references>
      </pivotArea>
    </format>
    <format dxfId="261">
      <pivotArea collapsedLevelsAreSubtotals="1" fieldPosition="0">
        <references count="2">
          <reference field="0" count="1">
            <x v="4"/>
          </reference>
          <reference field="2" count="1" selected="0">
            <x v="6"/>
          </reference>
        </references>
      </pivotArea>
    </format>
    <format dxfId="260">
      <pivotArea collapsedLevelsAreSubtotals="1" fieldPosition="0">
        <references count="2">
          <reference field="0" count="1">
            <x v="2"/>
          </reference>
          <reference field="2" count="1" selected="0">
            <x v="6"/>
          </reference>
        </references>
      </pivotArea>
    </format>
    <format dxfId="259">
      <pivotArea collapsedLevelsAreSubtotals="1" fieldPosition="0">
        <references count="2">
          <reference field="0" count="1">
            <x v="3"/>
          </reference>
          <reference field="2" count="1" selected="0">
            <x v="6"/>
          </reference>
        </references>
      </pivotArea>
    </format>
    <format dxfId="258">
      <pivotArea collapsedLevelsAreSubtotals="1" fieldPosition="0">
        <references count="2">
          <reference field="0" count="1">
            <x v="2"/>
          </reference>
          <reference field="2" count="1" selected="0">
            <x v="6"/>
          </reference>
        </references>
      </pivotArea>
    </format>
    <format dxfId="257">
      <pivotArea collapsedLevelsAreSubtotals="1" fieldPosition="0">
        <references count="2">
          <reference field="0" count="1">
            <x v="6"/>
          </reference>
          <reference field="2" count="1" selected="0">
            <x v="6"/>
          </reference>
        </references>
      </pivotArea>
    </format>
    <format dxfId="256">
      <pivotArea collapsedLevelsAreSubtotals="1" fieldPosition="0">
        <references count="2">
          <reference field="0" count="1">
            <x v="5"/>
          </reference>
          <reference field="2" count="1" selected="0">
            <x v="4"/>
          </reference>
        </references>
      </pivotArea>
    </format>
    <format dxfId="255">
      <pivotArea collapsedLevelsAreSubtotals="1" fieldPosition="0">
        <references count="2">
          <reference field="0" count="1">
            <x v="5"/>
          </reference>
          <reference field="2" count="1" selected="0">
            <x v="3"/>
          </reference>
        </references>
      </pivotArea>
    </format>
    <format dxfId="254">
      <pivotArea collapsedLevelsAreSubtotals="1" fieldPosition="0">
        <references count="2">
          <reference field="0" count="1">
            <x v="5"/>
          </reference>
          <reference field="2" count="1" selected="0">
            <x v="3"/>
          </reference>
        </references>
      </pivotArea>
    </format>
    <format dxfId="253">
      <pivotArea dataOnly="0" labelOnly="1" fieldPosition="0">
        <references count="1">
          <reference field="2" count="1">
            <x v="7"/>
          </reference>
        </references>
      </pivotArea>
    </format>
    <format dxfId="252">
      <pivotArea collapsedLevelsAreSubtotals="1" fieldPosition="0">
        <references count="2">
          <reference field="0" count="1">
            <x v="3"/>
          </reference>
          <reference field="2" count="1" selected="0">
            <x v="7"/>
          </reference>
        </references>
      </pivotArea>
    </format>
    <format dxfId="251">
      <pivotArea collapsedLevelsAreSubtotals="1" fieldPosition="0">
        <references count="2">
          <reference field="0" count="1">
            <x v="5"/>
          </reference>
          <reference field="2" count="1" selected="0">
            <x v="7"/>
          </reference>
        </references>
      </pivotArea>
    </format>
    <format dxfId="250">
      <pivotArea outline="0" collapsedLevelsAreSubtotals="1" fieldPosition="0">
        <references count="1">
          <reference field="2" count="1" selected="0">
            <x v="6"/>
          </reference>
        </references>
      </pivotArea>
    </format>
    <format dxfId="249">
      <pivotArea outline="0" collapsedLevelsAreSubtotals="1" fieldPosition="0">
        <references count="1">
          <reference field="2" count="1" selected="0">
            <x v="6"/>
          </reference>
        </references>
      </pivotArea>
    </format>
    <format dxfId="248">
      <pivotArea collapsedLevelsAreSubtotals="1" fieldPosition="0">
        <references count="2">
          <reference field="0" count="1">
            <x v="4"/>
          </reference>
          <reference field="2" count="1" selected="0">
            <x v="7"/>
          </reference>
        </references>
      </pivotArea>
    </format>
    <format dxfId="247">
      <pivotArea collapsedLevelsAreSubtotals="1" fieldPosition="0">
        <references count="2">
          <reference field="0" count="1">
            <x v="4"/>
          </reference>
          <reference field="2" count="1" selected="0">
            <x v="7"/>
          </reference>
        </references>
      </pivotArea>
    </format>
    <format dxfId="246">
      <pivotArea collapsedLevelsAreSubtotals="1" fieldPosition="0">
        <references count="2">
          <reference field="0" count="1">
            <x v="6"/>
          </reference>
          <reference field="2" count="1" selected="0">
            <x v="7"/>
          </reference>
        </references>
      </pivotArea>
    </format>
    <format dxfId="245">
      <pivotArea collapsedLevelsAreSubtotals="1" fieldPosition="0">
        <references count="1">
          <reference field="0" count="1">
            <x v="20"/>
          </reference>
        </references>
      </pivotArea>
    </format>
    <format dxfId="244">
      <pivotArea collapsedLevelsAreSubtotals="1" fieldPosition="0">
        <references count="2">
          <reference field="0" count="1">
            <x v="5"/>
          </reference>
          <reference field="2" count="1" selected="0">
            <x v="4"/>
          </reference>
        </references>
      </pivotArea>
    </format>
    <format dxfId="243">
      <pivotArea collapsedLevelsAreSubtotals="1" fieldPosition="0">
        <references count="2">
          <reference field="0" count="1">
            <x v="34"/>
          </reference>
          <reference field="2" count="1" selected="0">
            <x v="7"/>
          </reference>
        </references>
      </pivotArea>
    </format>
    <format dxfId="242">
      <pivotArea outline="0" collapsedLevelsAreSubtotals="1" fieldPosition="0">
        <references count="1">
          <reference field="2" count="1" selected="0">
            <x v="7"/>
          </reference>
        </references>
      </pivotArea>
    </format>
    <format dxfId="241">
      <pivotArea outline="0" collapsedLevelsAreSubtotals="1" fieldPosition="0">
        <references count="1">
          <reference field="2" count="1" selected="0">
            <x v="7"/>
          </reference>
        </references>
      </pivotArea>
    </format>
    <format dxfId="240">
      <pivotArea collapsedLevelsAreSubtotals="1" fieldPosition="0">
        <references count="2">
          <reference field="0" count="1">
            <x v="3"/>
          </reference>
          <reference field="2" count="1" selected="0">
            <x v="8"/>
          </reference>
        </references>
      </pivotArea>
    </format>
    <format dxfId="239">
      <pivotArea collapsedLevelsAreSubtotals="1" fieldPosition="0">
        <references count="2">
          <reference field="0" count="1">
            <x v="4"/>
          </reference>
          <reference field="2" count="1" selected="0">
            <x v="8"/>
          </reference>
        </references>
      </pivotArea>
    </format>
    <format dxfId="238">
      <pivotArea collapsedLevelsAreSubtotals="1" fieldPosition="0">
        <references count="2">
          <reference field="0" count="1">
            <x v="6"/>
          </reference>
          <reference field="2" count="1" selected="0">
            <x v="8"/>
          </reference>
        </references>
      </pivotArea>
    </format>
    <format dxfId="237">
      <pivotArea collapsedLevelsAreSubtotals="1" fieldPosition="0">
        <references count="2">
          <reference field="0" count="1">
            <x v="20"/>
          </reference>
          <reference field="2" count="1" selected="0">
            <x v="8"/>
          </reference>
        </references>
      </pivotArea>
    </format>
    <format dxfId="236">
      <pivotArea dataOnly="0" labelOnly="1" fieldPosition="0">
        <references count="1">
          <reference field="2" count="1">
            <x v="9"/>
          </reference>
        </references>
      </pivotArea>
    </format>
    <format dxfId="235">
      <pivotArea collapsedLevelsAreSubtotals="1" fieldPosition="0">
        <references count="2">
          <reference field="0" count="1">
            <x v="4"/>
          </reference>
          <reference field="2" count="1" selected="0">
            <x v="10"/>
          </reference>
        </references>
      </pivotArea>
    </format>
    <format dxfId="234">
      <pivotArea collapsedLevelsAreSubtotals="1" fieldPosition="0">
        <references count="2">
          <reference field="0" count="1">
            <x v="34"/>
          </reference>
          <reference field="2" count="1" selected="0">
            <x v="10"/>
          </reference>
        </references>
      </pivotArea>
    </format>
    <format dxfId="233">
      <pivotArea collapsedLevelsAreSubtotals="1" fieldPosition="0">
        <references count="2">
          <reference field="0" count="1">
            <x v="3"/>
          </reference>
          <reference field="2" count="1" selected="0">
            <x v="10"/>
          </reference>
        </references>
      </pivotArea>
    </format>
    <format dxfId="232">
      <pivotArea collapsedLevelsAreSubtotals="1" fieldPosition="0">
        <references count="1">
          <reference field="0" count="1">
            <x v="23"/>
          </reference>
        </references>
      </pivotArea>
    </format>
    <format dxfId="231">
      <pivotArea collapsedLevelsAreSubtotals="1" fieldPosition="0">
        <references count="2">
          <reference field="0" count="1">
            <x v="3"/>
          </reference>
          <reference field="2" count="1" selected="0">
            <x v="11"/>
          </reference>
        </references>
      </pivotArea>
    </format>
    <format dxfId="230">
      <pivotArea outline="0" collapsedLevelsAreSubtotals="1" fieldPosition="0">
        <references count="1">
          <reference field="2" count="4" selected="0">
            <x v="7"/>
            <x v="8"/>
            <x v="10"/>
            <x v="11"/>
          </reference>
        </references>
      </pivotArea>
    </format>
    <format dxfId="229">
      <pivotArea collapsedLevelsAreSubtotals="1" fieldPosition="0">
        <references count="2">
          <reference field="0" count="9">
            <x v="1"/>
            <x v="2"/>
            <x v="3"/>
            <x v="4"/>
            <x v="5"/>
            <x v="6"/>
            <x v="13"/>
            <x v="20"/>
            <x v="34"/>
          </reference>
          <reference field="2" count="3" selected="0">
            <x v="7"/>
            <x v="8"/>
            <x v="10"/>
          </reference>
        </references>
      </pivotArea>
    </format>
    <format dxfId="228">
      <pivotArea collapsedLevelsAreSubtotals="1" fieldPosition="0">
        <references count="2">
          <reference field="0" count="1">
            <x v="3"/>
          </reference>
          <reference field="2" count="1" selected="0">
            <x v="13"/>
          </reference>
        </references>
      </pivotArea>
    </format>
    <format dxfId="227">
      <pivotArea collapsedLevelsAreSubtotals="1" fieldPosition="0">
        <references count="2">
          <reference field="0" count="1">
            <x v="4"/>
          </reference>
          <reference field="2" count="1" selected="0">
            <x v="13"/>
          </reference>
        </references>
      </pivotArea>
    </format>
    <format dxfId="226">
      <pivotArea collapsedLevelsAreSubtotals="1" fieldPosition="0">
        <references count="2">
          <reference field="0" count="1">
            <x v="34"/>
          </reference>
          <reference field="2" count="1" selected="0">
            <x v="13"/>
          </reference>
        </references>
      </pivotArea>
    </format>
    <format dxfId="225">
      <pivotArea collapsedLevelsAreSubtotals="1" fieldPosition="0">
        <references count="2">
          <reference field="0" count="1">
            <x v="4"/>
          </reference>
          <reference field="2" count="1" selected="0">
            <x v="14"/>
          </reference>
        </references>
      </pivotArea>
    </format>
    <format dxfId="224">
      <pivotArea collapsedLevelsAreSubtotals="1" fieldPosition="0">
        <references count="2">
          <reference field="0" count="1">
            <x v="3"/>
          </reference>
          <reference field="2" count="1" selected="0">
            <x v="14"/>
          </reference>
        </references>
      </pivotArea>
    </format>
    <format dxfId="223">
      <pivotArea collapsedLevelsAreSubtotals="1" fieldPosition="0">
        <references count="2">
          <reference field="0" count="1">
            <x v="34"/>
          </reference>
          <reference field="2" count="1" selected="0">
            <x v="14"/>
          </reference>
        </references>
      </pivotArea>
    </format>
    <format dxfId="222">
      <pivotArea collapsedLevelsAreSubtotals="1" fieldPosition="0">
        <references count="2">
          <reference field="0" count="1">
            <x v="5"/>
          </reference>
          <reference field="2" count="1" selected="0">
            <x v="14"/>
          </reference>
        </references>
      </pivotArea>
    </format>
    <format dxfId="221">
      <pivotArea dataOnly="0" labelOnly="1" fieldPosition="0">
        <references count="1">
          <reference field="2" count="1">
            <x v="15"/>
          </reference>
        </references>
      </pivotArea>
    </format>
    <format dxfId="220">
      <pivotArea outline="0" collapsedLevelsAreSubtotals="1" fieldPosition="0">
        <references count="1">
          <reference field="2" count="2" selected="0">
            <x v="13"/>
            <x v="14"/>
          </reference>
        </references>
      </pivotArea>
    </format>
    <format dxfId="219">
      <pivotArea collapsedLevelsAreSubtotals="1" fieldPosition="0">
        <references count="2">
          <reference field="0" count="1">
            <x v="34"/>
          </reference>
          <reference field="2" count="1" selected="0">
            <x v="16"/>
          </reference>
        </references>
      </pivotArea>
    </format>
    <format dxfId="218">
      <pivotArea collapsedLevelsAreSubtotals="1" fieldPosition="0">
        <references count="2">
          <reference field="0" count="1">
            <x v="3"/>
          </reference>
          <reference field="2" count="1" selected="0">
            <x v="16"/>
          </reference>
        </references>
      </pivotArea>
    </format>
    <format dxfId="217">
      <pivotArea collapsedLevelsAreSubtotals="1" fieldPosition="0">
        <references count="2">
          <reference field="0" count="1">
            <x v="4"/>
          </reference>
          <reference field="2" count="1" selected="0">
            <x v="16"/>
          </reference>
        </references>
      </pivotArea>
    </format>
    <format dxfId="216">
      <pivotArea collapsedLevelsAreSubtotals="1" fieldPosition="0">
        <references count="2">
          <reference field="0" count="1">
            <x v="6"/>
          </reference>
          <reference field="2" count="1" selected="0">
            <x v="17"/>
          </reference>
        </references>
      </pivotArea>
    </format>
    <format dxfId="215">
      <pivotArea collapsedLevelsAreSubtotals="1" fieldPosition="0">
        <references count="2">
          <reference field="0" count="1">
            <x v="34"/>
          </reference>
          <reference field="2" count="1" selected="0">
            <x v="17"/>
          </reference>
        </references>
      </pivotArea>
    </format>
    <format dxfId="214">
      <pivotArea collapsedLevelsAreSubtotals="1" fieldPosition="0">
        <references count="2">
          <reference field="0" count="1">
            <x v="6"/>
          </reference>
          <reference field="2" count="1" selected="0">
            <x v="17"/>
          </reference>
        </references>
      </pivotArea>
    </format>
    <format dxfId="213">
      <pivotArea collapsedLevelsAreSubtotals="1" fieldPosition="0">
        <references count="2">
          <reference field="0" count="1">
            <x v="6"/>
          </reference>
          <reference field="2" count="1" selected="0">
            <x v="17"/>
          </reference>
        </references>
      </pivotArea>
    </format>
    <format dxfId="212">
      <pivotArea collapsedLevelsAreSubtotals="1" fieldPosition="0">
        <references count="2">
          <reference field="0" count="1">
            <x v="3"/>
          </reference>
          <reference field="2" count="1" selected="0">
            <x v="17"/>
          </reference>
        </references>
      </pivotArea>
    </format>
    <format dxfId="211">
      <pivotArea collapsedLevelsAreSubtotals="1" fieldPosition="0">
        <references count="2">
          <reference field="0" count="1">
            <x v="5"/>
          </reference>
          <reference field="2" count="1" selected="0">
            <x v="17"/>
          </reference>
        </references>
      </pivotArea>
    </format>
    <format dxfId="210">
      <pivotArea collapsedLevelsAreSubtotals="1" fieldPosition="0">
        <references count="2">
          <reference field="0" count="1">
            <x v="3"/>
          </reference>
          <reference field="2" count="1" selected="0">
            <x v="17"/>
          </reference>
        </references>
      </pivotArea>
    </format>
    <format dxfId="209">
      <pivotArea collapsedLevelsAreSubtotals="1" fieldPosition="0">
        <references count="2">
          <reference field="0" count="1">
            <x v="4"/>
          </reference>
          <reference field="2" count="1" selected="0">
            <x v="18"/>
          </reference>
        </references>
      </pivotArea>
    </format>
    <format dxfId="208">
      <pivotArea collapsedLevelsAreSubtotals="1" fieldPosition="0">
        <references count="2">
          <reference field="0" count="1">
            <x v="34"/>
          </reference>
          <reference field="2" count="1" selected="0">
            <x v="18"/>
          </reference>
        </references>
      </pivotArea>
    </format>
    <format dxfId="207">
      <pivotArea collapsedLevelsAreSubtotals="1" fieldPosition="0">
        <references count="2">
          <reference field="0" count="1">
            <x v="6"/>
          </reference>
          <reference field="2" count="1" selected="0">
            <x v="18"/>
          </reference>
        </references>
      </pivotArea>
    </format>
    <format dxfId="206">
      <pivotArea collapsedLevelsAreSubtotals="1" fieldPosition="0">
        <references count="2">
          <reference field="0" count="1">
            <x v="6"/>
          </reference>
          <reference field="2" count="1" selected="0">
            <x v="19"/>
          </reference>
        </references>
      </pivotArea>
    </format>
    <format dxfId="205">
      <pivotArea collapsedLevelsAreSubtotals="1" fieldPosition="0">
        <references count="2">
          <reference field="0" count="2">
            <x v="13"/>
            <x v="23"/>
          </reference>
          <reference field="2" count="1" selected="0">
            <x v="19"/>
          </reference>
        </references>
      </pivotArea>
    </format>
    <format dxfId="204">
      <pivotArea collapsedLevelsAreSubtotals="1" fieldPosition="0">
        <references count="2">
          <reference field="0" count="1">
            <x v="3"/>
          </reference>
          <reference field="2" count="1" selected="0">
            <x v="20"/>
          </reference>
        </references>
      </pivotArea>
    </format>
    <format dxfId="203">
      <pivotArea collapsedLevelsAreSubtotals="1" fieldPosition="0">
        <references count="2">
          <reference field="0" count="1">
            <x v="34"/>
          </reference>
          <reference field="2" count="1" selected="0">
            <x v="20"/>
          </reference>
        </references>
      </pivotArea>
    </format>
    <format dxfId="202">
      <pivotArea collapsedLevelsAreSubtotals="1" fieldPosition="0">
        <references count="2">
          <reference field="0" count="1">
            <x v="6"/>
          </reference>
          <reference field="2" count="1" selected="0">
            <x v="20"/>
          </reference>
        </references>
      </pivotArea>
    </format>
    <format dxfId="201">
      <pivotArea collapsedLevelsAreSubtotals="1" fieldPosition="0">
        <references count="2">
          <reference field="0" count="1">
            <x v="34"/>
          </reference>
          <reference field="2" count="1" selected="0">
            <x v="19"/>
          </reference>
        </references>
      </pivotArea>
    </format>
    <format dxfId="200">
      <pivotArea outline="0" collapsedLevelsAreSubtotals="1" fieldPosition="0">
        <references count="1">
          <reference field="2" count="5" selected="0">
            <x v="16"/>
            <x v="17"/>
            <x v="18"/>
            <x v="19"/>
            <x v="20"/>
          </reference>
        </references>
      </pivotArea>
    </format>
    <format dxfId="199">
      <pivotArea field="0" grandCol="1" collapsedLevelsAreSubtotals="1" axis="axisRow" fieldPosition="0">
        <references count="1">
          <reference field="0" count="1">
            <x v="34"/>
          </reference>
        </references>
      </pivotArea>
    </format>
    <format dxfId="198">
      <pivotArea field="0" grandCol="1" collapsedLevelsAreSubtotals="1" axis="axisRow" fieldPosition="0">
        <references count="1">
          <reference field="0" count="1">
            <x v="34"/>
          </reference>
        </references>
      </pivotArea>
    </format>
    <format dxfId="197">
      <pivotArea collapsedLevelsAreSubtotals="1" fieldPosition="0">
        <references count="2">
          <reference field="0" count="1">
            <x v="34"/>
          </reference>
          <reference field="2" count="5" selected="0">
            <x v="17"/>
            <x v="18"/>
            <x v="19"/>
            <x v="20"/>
            <x v="21"/>
          </reference>
        </references>
      </pivotArea>
    </format>
    <format dxfId="196">
      <pivotArea collapsedLevelsAreSubtotals="1" fieldPosition="0">
        <references count="2">
          <reference field="0" count="2">
            <x v="5"/>
            <x v="6"/>
          </reference>
          <reference field="2" count="1" selected="0">
            <x v="22"/>
          </reference>
        </references>
      </pivotArea>
    </format>
    <format dxfId="195">
      <pivotArea collapsedLevelsAreSubtotals="1" fieldPosition="0">
        <references count="2">
          <reference field="0" count="1">
            <x v="3"/>
          </reference>
          <reference field="2" count="2" selected="0">
            <x v="20"/>
            <x v="21"/>
          </reference>
        </references>
      </pivotArea>
    </format>
    <format dxfId="194">
      <pivotArea collapsedLevelsAreSubtotals="1" fieldPosition="0">
        <references count="2">
          <reference field="0" count="2">
            <x v="13"/>
            <x v="23"/>
          </reference>
          <reference field="2" count="5" selected="0">
            <x v="18"/>
            <x v="19"/>
            <x v="20"/>
            <x v="21"/>
            <x v="22"/>
          </reference>
        </references>
      </pivotArea>
    </format>
    <format dxfId="193">
      <pivotArea collapsedLevelsAreSubtotals="1" fieldPosition="0">
        <references count="2">
          <reference field="0" count="1">
            <x v="6"/>
          </reference>
          <reference field="2" count="5" selected="0">
            <x v="19"/>
            <x v="20"/>
            <x v="21"/>
            <x v="22"/>
            <x v="23"/>
          </reference>
        </references>
      </pivotArea>
    </format>
    <format dxfId="192">
      <pivotArea outline="0" collapsedLevelsAreSubtotals="1" fieldPosition="0">
        <references count="1">
          <reference field="2" count="1" selected="0">
            <x v="21"/>
          </reference>
        </references>
      </pivotArea>
    </format>
    <format dxfId="191">
      <pivotArea outline="0" collapsedLevelsAreSubtotals="1" fieldPosition="0">
        <references count="1">
          <reference field="2" count="1" selected="0">
            <x v="23"/>
          </reference>
        </references>
      </pivotArea>
    </format>
    <format dxfId="190">
      <pivotArea outline="0" collapsedLevelsAreSubtotals="1" fieldPosition="0">
        <references count="1">
          <reference field="2" count="1" selected="0">
            <x v="24"/>
          </reference>
        </references>
      </pivotArea>
    </format>
    <format dxfId="189">
      <pivotArea outline="0" collapsedLevelsAreSubtotals="1" fieldPosition="0">
        <references count="1">
          <reference field="2" count="1" selected="0">
            <x v="25"/>
          </reference>
        </references>
      </pivotArea>
    </format>
    <format dxfId="188">
      <pivotArea collapsedLevelsAreSubtotals="1" fieldPosition="0">
        <references count="2">
          <reference field="0" count="1">
            <x v="2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187">
      <pivotArea collapsedLevelsAreSubtotals="1" fieldPosition="0">
        <references count="2">
          <reference field="0" count="1">
            <x v="3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186">
      <pivotArea collapsedLevelsAreSubtotals="1" fieldPosition="0">
        <references count="2">
          <reference field="0" count="1">
            <x v="3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185">
      <pivotArea collapsedLevelsAreSubtotals="1" fieldPosition="0">
        <references count="2">
          <reference field="0" count="1">
            <x v="4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184">
      <pivotArea collapsedLevelsAreSubtotals="1" fieldPosition="0">
        <references count="2">
          <reference field="0" count="1">
            <x v="4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183">
      <pivotArea collapsedLevelsAreSubtotals="1" fieldPosition="0">
        <references count="2">
          <reference field="0" count="1">
            <x v="5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182">
      <pivotArea collapsedLevelsAreSubtotals="1" fieldPosition="0">
        <references count="2">
          <reference field="0" count="1">
            <x v="5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181">
      <pivotArea collapsedLevelsAreSubtotals="1" fieldPosition="0">
        <references count="2">
          <reference field="0" count="1">
            <x v="6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180">
      <pivotArea collapsedLevelsAreSubtotals="1" fieldPosition="0">
        <references count="2">
          <reference field="0" count="1">
            <x v="6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179">
      <pivotArea collapsedLevelsAreSubtotals="1" fieldPosition="0">
        <references count="2">
          <reference field="0" count="1">
            <x v="20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178">
      <pivotArea collapsedLevelsAreSubtotals="1" fieldPosition="0">
        <references count="2">
          <reference field="0" count="1">
            <x v="20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177">
      <pivotArea collapsedLevelsAreSubtotals="1" fieldPosition="0">
        <references count="2">
          <reference field="0" count="4">
            <x v="1"/>
            <x v="13"/>
            <x v="23"/>
            <x v="34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176">
      <pivotArea collapsedLevelsAreSubtotals="1" fieldPosition="0">
        <references count="2">
          <reference field="0" count="4">
            <x v="1"/>
            <x v="13"/>
            <x v="23"/>
            <x v="34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175">
      <pivotArea collapsedLevelsAreSubtotals="1" fieldPosition="0">
        <references count="2">
          <reference field="0" count="2">
            <x v="28"/>
            <x v="29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174">
      <pivotArea outline="0" collapsedLevelsAreSubtotals="1" fieldPosition="0">
        <references count="1">
          <reference field="2" count="1" selected="0">
            <x v="26"/>
          </reference>
        </references>
      </pivotArea>
    </format>
    <format dxfId="173">
      <pivotArea outline="0" collapsedLevelsAreSubtotals="1" fieldPosition="0">
        <references count="1">
          <reference field="2" count="1" selected="0">
            <x v="27"/>
          </reference>
        </references>
      </pivotArea>
    </format>
    <format dxfId="172">
      <pivotArea collapsedLevelsAreSubtotals="1" fieldPosition="0">
        <references count="2">
          <reference field="0" count="1">
            <x v="2"/>
          </reference>
          <reference field="2" count="1" selected="0">
            <x v="27"/>
          </reference>
        </references>
      </pivotArea>
    </format>
    <format dxfId="171">
      <pivotArea outline="0" collapsedLevelsAreSubtotals="1" fieldPosition="0">
        <references count="1">
          <reference field="2" count="1" selected="0">
            <x v="28"/>
          </reference>
        </references>
      </pivotArea>
    </format>
    <format dxfId="170">
      <pivotArea outline="0" collapsedLevelsAreSubtotals="1" fieldPosition="0">
        <references count="1">
          <reference field="2" count="1" selected="0">
            <x v="29"/>
          </reference>
        </references>
      </pivotArea>
    </format>
    <format dxfId="169">
      <pivotArea dataOnly="0" labelOnly="1" fieldPosition="0">
        <references count="1">
          <reference field="2" count="6">
            <x v="26"/>
            <x v="27"/>
            <x v="28"/>
            <x v="29"/>
            <x v="30"/>
            <x v="31"/>
          </reference>
        </references>
      </pivotArea>
    </format>
    <format dxfId="168">
      <pivotArea collapsedLevelsAreSubtotals="1" fieldPosition="0">
        <references count="2">
          <reference field="0" count="1">
            <x v="2"/>
          </reference>
          <reference field="2" count="1" selected="0">
            <x v="31"/>
          </reference>
        </references>
      </pivotArea>
    </format>
    <format dxfId="167">
      <pivotArea collapsedLevelsAreSubtotals="1" fieldPosition="0">
        <references count="2">
          <reference field="0" count="2">
            <x v="21"/>
            <x v="27"/>
          </reference>
          <reference field="2" count="7" selected="0">
            <x v="26"/>
            <x v="27"/>
            <x v="28"/>
            <x v="29"/>
            <x v="30"/>
            <x v="31"/>
            <x v="32"/>
          </reference>
        </references>
      </pivotArea>
    </format>
    <format dxfId="166">
      <pivotArea collapsedLevelsAreSubtotals="1" fieldPosition="0">
        <references count="2">
          <reference field="0" count="3">
            <x v="14"/>
            <x v="24"/>
            <x v="25"/>
          </reference>
          <reference field="2" count="7" selected="0">
            <x v="26"/>
            <x v="27"/>
            <x v="28"/>
            <x v="29"/>
            <x v="30"/>
            <x v="31"/>
            <x v="32"/>
          </reference>
        </references>
      </pivotArea>
    </format>
    <format dxfId="165">
      <pivotArea collapsedLevelsAreSubtotals="1" fieldPosition="0">
        <references count="2">
          <reference field="0" count="5">
            <x v="14"/>
            <x v="21"/>
            <x v="24"/>
            <x v="25"/>
            <x v="27"/>
          </reference>
          <reference field="2" count="5" selected="0">
            <x v="27"/>
            <x v="28"/>
            <x v="29"/>
            <x v="30"/>
            <x v="31"/>
          </reference>
        </references>
      </pivotArea>
    </format>
    <format dxfId="164">
      <pivotArea collapsedLevelsAreSubtotals="1" fieldPosition="0">
        <references count="2">
          <reference field="0" count="1">
            <x v="2"/>
          </reference>
          <reference field="2" count="1" selected="0">
            <x v="32"/>
          </reference>
        </references>
      </pivotArea>
    </format>
    <format dxfId="163">
      <pivotArea collapsedLevelsAreSubtotals="1" fieldPosition="0">
        <references count="2">
          <reference field="0" count="1">
            <x v="3"/>
          </reference>
          <reference field="2" count="1" selected="0">
            <x v="32"/>
          </reference>
        </references>
      </pivotArea>
    </format>
    <format dxfId="162">
      <pivotArea collapsedLevelsAreSubtotals="1" fieldPosition="0">
        <references count="2">
          <reference field="0" count="1">
            <x v="5"/>
          </reference>
          <reference field="2" count="5" selected="0">
            <x v="27"/>
            <x v="28"/>
            <x v="29"/>
            <x v="30"/>
            <x v="31"/>
          </reference>
        </references>
      </pivotArea>
    </format>
    <format dxfId="161">
      <pivotArea collapsedLevelsAreSubtotals="1" fieldPosition="0">
        <references count="2">
          <reference field="0" count="1">
            <x v="6"/>
          </reference>
          <reference field="2" count="5" selected="0">
            <x v="27"/>
            <x v="28"/>
            <x v="29"/>
            <x v="30"/>
            <x v="31"/>
          </reference>
        </references>
      </pivotArea>
    </format>
    <format dxfId="160">
      <pivotArea outline="0" collapsedLevelsAreSubtotals="1" fieldPosition="0">
        <references count="1">
          <reference field="2" count="5" selected="0">
            <x v="28"/>
            <x v="29"/>
            <x v="30"/>
            <x v="31"/>
            <x v="32"/>
          </reference>
        </references>
      </pivotArea>
    </format>
    <format dxfId="159">
      <pivotArea outline="0" collapsedLevelsAreSubtotals="1" fieldPosition="0">
        <references count="1">
          <reference field="2" count="1" selected="0">
            <x v="33"/>
          </reference>
        </references>
      </pivotArea>
    </format>
    <format dxfId="158">
      <pivotArea collapsedLevelsAreSubtotals="1" fieldPosition="0">
        <references count="1">
          <reference field="0" count="1">
            <x v="25"/>
          </reference>
        </references>
      </pivotArea>
    </format>
    <format dxfId="157">
      <pivotArea collapsedLevelsAreSubtotals="1" fieldPosition="0">
        <references count="2">
          <reference field="0" count="4">
            <x v="14"/>
            <x v="21"/>
            <x v="24"/>
            <x v="27"/>
          </reference>
          <reference field="2" count="6" selected="0">
            <x v="28"/>
            <x v="29"/>
            <x v="30"/>
            <x v="31"/>
            <x v="32"/>
            <x v="33"/>
          </reference>
        </references>
      </pivotArea>
    </format>
    <format dxfId="156">
      <pivotArea field="0" grandCol="1" collapsedLevelsAreSubtotals="1" axis="axisRow" fieldPosition="0">
        <references count="1">
          <reference field="0" count="4">
            <x v="14"/>
            <x v="21"/>
            <x v="24"/>
            <x v="27"/>
          </reference>
        </references>
      </pivotArea>
    </format>
    <format dxfId="155">
      <pivotArea collapsedLevelsAreSubtotals="1" fieldPosition="0">
        <references count="2">
          <reference field="0" count="1">
            <x v="4"/>
          </reference>
          <reference field="2" count="1" selected="0">
            <x v="33"/>
          </reference>
        </references>
      </pivotArea>
    </format>
    <format dxfId="154">
      <pivotArea outline="0" collapsedLevelsAreSubtotals="1" fieldPosition="0">
        <references count="1">
          <reference field="2" count="1" selected="0">
            <x v="34"/>
          </reference>
        </references>
      </pivotArea>
    </format>
    <format dxfId="153">
      <pivotArea collapsedLevelsAreSubtotals="1" fieldPosition="0">
        <references count="2">
          <reference field="0" count="1">
            <x v="14"/>
          </reference>
          <reference field="2" count="1" selected="0">
            <x v="34"/>
          </reference>
        </references>
      </pivotArea>
    </format>
    <format dxfId="152">
      <pivotArea collapsedLevelsAreSubtotals="1" fieldPosition="0">
        <references count="2">
          <reference field="0" count="1">
            <x v="24"/>
          </reference>
          <reference field="2" count="1" selected="0">
            <x v="34"/>
          </reference>
        </references>
      </pivotArea>
    </format>
    <format dxfId="151">
      <pivotArea collapsedLevelsAreSubtotals="1" fieldPosition="0">
        <references count="2">
          <reference field="0" count="2">
            <x v="21"/>
            <x v="27"/>
          </reference>
          <reference field="2" count="1" selected="0">
            <x v="34"/>
          </reference>
        </references>
      </pivotArea>
    </format>
    <format dxfId="150">
      <pivotArea collapsedLevelsAreSubtotals="1" fieldPosition="0">
        <references count="2">
          <reference field="0" count="3">
            <x v="14"/>
            <x v="21"/>
            <x v="24"/>
          </reference>
          <reference field="2" count="6" selected="0">
            <x v="36"/>
            <x v="37"/>
            <x v="38"/>
            <x v="39"/>
            <x v="40"/>
            <x v="41"/>
          </reference>
        </references>
      </pivotArea>
    </format>
    <format dxfId="149">
      <pivotArea collapsedLevelsAreSubtotals="1" fieldPosition="0">
        <references count="2">
          <reference field="0" count="1">
            <x v="27"/>
          </reference>
          <reference field="2" count="6" selected="0">
            <x v="36"/>
            <x v="37"/>
            <x v="38"/>
            <x v="39"/>
            <x v="40"/>
            <x v="41"/>
          </reference>
        </references>
      </pivotArea>
    </format>
    <format dxfId="148">
      <pivotArea collapsedLevelsAreSubtotals="1" fieldPosition="0">
        <references count="2">
          <reference field="0" count="1">
            <x v="24"/>
          </reference>
          <reference field="2" count="1" selected="0">
            <x v="42"/>
          </reference>
        </references>
      </pivotArea>
    </format>
    <format dxfId="147">
      <pivotArea collapsedLevelsAreSubtotals="1" fieldPosition="0">
        <references count="2">
          <reference field="0" count="1">
            <x v="27"/>
          </reference>
          <reference field="2" count="1" selected="0">
            <x v="42"/>
          </reference>
        </references>
      </pivotArea>
    </format>
    <format dxfId="146">
      <pivotArea collapsedLevelsAreSubtotals="1" fieldPosition="0">
        <references count="2">
          <reference field="0" count="2">
            <x v="14"/>
            <x v="21"/>
          </reference>
          <reference field="2" count="1" selected="0">
            <x v="42"/>
          </reference>
        </references>
      </pivotArea>
    </format>
    <format dxfId="145">
      <pivotArea outline="0" collapsedLevelsAreSubtotals="1" fieldPosition="0">
        <references count="1">
          <reference field="2" count="1" selected="0">
            <x v="42"/>
          </reference>
        </references>
      </pivotArea>
    </format>
    <format dxfId="144">
      <pivotArea collapsedLevelsAreSubtotals="1" fieldPosition="0">
        <references count="1">
          <reference field="0" count="2">
            <x v="28"/>
            <x v="29"/>
          </reference>
        </references>
      </pivotArea>
    </format>
    <format dxfId="143">
      <pivotArea collapsedLevelsAreSubtotals="1" fieldPosition="0">
        <references count="1">
          <reference field="0" count="1">
            <x v="4"/>
          </reference>
        </references>
      </pivotArea>
    </format>
    <format dxfId="142">
      <pivotArea collapsedLevelsAreSubtotals="1" fieldPosition="0">
        <references count="2">
          <reference field="0" count="1">
            <x v="24"/>
          </reference>
          <reference field="2" count="2" selected="0">
            <x v="41"/>
            <x v="42"/>
          </reference>
        </references>
      </pivotArea>
    </format>
    <format dxfId="141">
      <pivotArea collapsedLevelsAreSubtotals="1" fieldPosition="0">
        <references count="2">
          <reference field="0" count="1">
            <x v="24"/>
          </reference>
          <reference field="2" count="1" selected="0">
            <x v="41"/>
          </reference>
        </references>
      </pivotArea>
    </format>
    <format dxfId="140">
      <pivotArea collapsedLevelsAreSubtotals="1" fieldPosition="0">
        <references count="2">
          <reference field="0" count="1">
            <x v="24"/>
          </reference>
          <reference field="2" count="1" selected="0">
            <x v="41"/>
          </reference>
        </references>
      </pivotArea>
    </format>
    <format dxfId="139">
      <pivotArea collapsedLevelsAreSubtotals="1" fieldPosition="0">
        <references count="2">
          <reference field="0" count="1">
            <x v="4"/>
          </reference>
          <reference field="2" count="1" selected="0">
            <x v="42"/>
          </reference>
        </references>
      </pivotArea>
    </format>
    <format dxfId="138">
      <pivotArea outline="0" collapsedLevelsAreSubtotals="1" fieldPosition="0">
        <references count="1">
          <reference field="2" count="1" selected="0">
            <x v="42"/>
          </reference>
        </references>
      </pivotArea>
    </format>
    <format dxfId="137">
      <pivotArea outline="0" collapsedLevelsAreSubtotals="1" fieldPosition="0">
        <references count="1">
          <reference field="2" count="1" selected="0">
            <x v="43"/>
          </reference>
        </references>
      </pivotArea>
    </format>
    <format dxfId="136">
      <pivotArea collapsedLevelsAreSubtotals="1" fieldPosition="0">
        <references count="2">
          <reference field="0" count="1">
            <x v="4"/>
          </reference>
          <reference field="2" count="1" selected="0">
            <x v="43"/>
          </reference>
        </references>
      </pivotArea>
    </format>
    <format dxfId="135">
      <pivotArea collapsedLevelsAreSubtotals="1" fieldPosition="0">
        <references count="2">
          <reference field="0" count="5">
            <x v="14"/>
            <x v="21"/>
            <x v="24"/>
            <x v="25"/>
            <x v="27"/>
          </reference>
          <reference field="2" count="1" selected="0">
            <x v="43"/>
          </reference>
        </references>
      </pivotArea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4D1B7-C29A-49D7-B1FA-2F2ED779510F}" name="PivotTable4" cacheId="1" applyNumberFormats="0" applyBorderFormats="0" applyFontFormats="0" applyPatternFormats="0" applyAlignmentFormats="0" applyWidthHeightFormats="1" dataCaption="Values" grandTotalCaption="Avg" updatedVersion="8" minRefreshableVersion="3" useAutoFormatting="1" rowGrandTotals="0" itemPrintTitles="1" createdVersion="8" indent="0" outline="1" outlineData="1" multipleFieldFilters="0" rowHeaderCaption="KPI" colHeaderCaption="Month">
  <location ref="B47:I60" firstHeaderRow="1" firstDataRow="2" firstDataCol="1" rowPageCount="1" colPageCount="1"/>
  <pivotFields count="4">
    <pivotField axis="axisRow" showAll="0">
      <items count="19">
        <item x="16"/>
        <item x="0"/>
        <item x="1"/>
        <item x="2"/>
        <item x="3"/>
        <item x="7"/>
        <item x="8"/>
        <item x="10"/>
        <item x="6"/>
        <item x="4"/>
        <item x="5"/>
        <item x="11"/>
        <item x="12"/>
        <item x="17"/>
        <item x="9"/>
        <item x="15"/>
        <item x="13"/>
        <item x="14"/>
        <item t="default"/>
      </items>
    </pivotField>
    <pivotField dataField="1" showAll="0"/>
    <pivotField axis="axisCol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11"/>
    </i>
    <i>
      <x v="12"/>
    </i>
    <i>
      <x v="14"/>
    </i>
    <i>
      <x v="16"/>
    </i>
    <i>
      <x v="17"/>
    </i>
  </rowItems>
  <colFields count="1">
    <field x="2"/>
  </colFields>
  <colItems count="7"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3" item="1" hier="-1"/>
  </pageFields>
  <dataFields count="1">
    <dataField name="Total KPI (WPAY &amp; Adyen)" fld="1" subtotal="average" baseField="0" baseItem="0"/>
  </dataFields>
  <formats count="19">
    <format dxfId="299">
      <pivotArea collapsedLevelsAreSubtotals="1" fieldPosition="0">
        <references count="1">
          <reference field="0" count="1">
            <x v="1"/>
          </reference>
        </references>
      </pivotArea>
    </format>
    <format dxfId="298">
      <pivotArea collapsedLevelsAreSubtotals="1" fieldPosition="0">
        <references count="1">
          <reference field="0" count="1">
            <x v="3"/>
          </reference>
        </references>
      </pivotArea>
    </format>
    <format dxfId="297">
      <pivotArea collapsedLevelsAreSubtotals="1" fieldPosition="0">
        <references count="1">
          <reference field="0" count="1">
            <x v="4"/>
          </reference>
        </references>
      </pivotArea>
    </format>
    <format dxfId="296">
      <pivotArea collapsedLevelsAreSubtotals="1" fieldPosition="0">
        <references count="1">
          <reference field="0" count="1">
            <x v="5"/>
          </reference>
        </references>
      </pivotArea>
    </format>
    <format dxfId="295">
      <pivotArea collapsedLevelsAreSubtotals="1" fieldPosition="0">
        <references count="1">
          <reference field="0" count="5">
            <x v="6"/>
            <x v="7"/>
            <x v="11"/>
            <x v="12"/>
            <x v="14"/>
          </reference>
        </references>
      </pivotArea>
    </format>
    <format dxfId="294">
      <pivotArea outline="0" collapsedLevelsAreSubtotals="1" fieldPosition="0">
        <references count="1">
          <reference field="2" count="1" selected="0">
            <x v="5"/>
          </reference>
        </references>
      </pivotArea>
    </format>
    <format dxfId="293">
      <pivotArea outline="0" collapsedLevelsAreSubtotals="1" fieldPosition="0">
        <references count="1">
          <reference field="2" count="1" selected="0">
            <x v="6"/>
          </reference>
        </references>
      </pivotArea>
    </format>
    <format dxfId="292">
      <pivotArea outline="0" collapsedLevelsAreSubtotals="1" fieldPosition="0">
        <references count="1">
          <reference field="2" count="1" selected="0">
            <x v="6"/>
          </reference>
        </references>
      </pivotArea>
    </format>
    <format dxfId="291">
      <pivotArea outline="0" collapsedLevelsAreSubtotals="1" fieldPosition="0">
        <references count="1">
          <reference field="2" count="1" selected="0">
            <x v="7"/>
          </reference>
        </references>
      </pivotArea>
    </format>
    <format dxfId="290">
      <pivotArea collapsedLevelsAreSubtotals="1" fieldPosition="0">
        <references count="2">
          <reference field="0" count="1">
            <x v="3"/>
          </reference>
          <reference field="2" count="1" selected="0">
            <x v="8"/>
          </reference>
        </references>
      </pivotArea>
    </format>
    <format dxfId="289">
      <pivotArea outline="0" collapsedLevelsAreSubtotals="1" fieldPosition="0">
        <references count="1">
          <reference field="2" count="1" selected="0">
            <x v="8"/>
          </reference>
        </references>
      </pivotArea>
    </format>
    <format dxfId="288">
      <pivotArea outline="0" collapsedLevelsAreSubtotals="1" fieldPosition="0">
        <references count="1">
          <reference field="2" count="1" selected="0">
            <x v="9"/>
          </reference>
        </references>
      </pivotArea>
    </format>
    <format dxfId="287">
      <pivotArea outline="0" collapsedLevelsAreSubtotals="1" fieldPosition="0">
        <references count="1">
          <reference field="2" count="1" selected="0">
            <x v="7"/>
          </reference>
        </references>
      </pivotArea>
    </format>
    <format dxfId="286">
      <pivotArea outline="0" collapsedLevelsAreSubtotals="1" fieldPosition="0">
        <references count="1">
          <reference field="2" count="1" selected="0">
            <x v="8"/>
          </reference>
        </references>
      </pivotArea>
    </format>
    <format dxfId="285">
      <pivotArea collapsedLevelsAreSubtotals="1" fieldPosition="0">
        <references count="1">
          <reference field="0" count="1">
            <x v="2"/>
          </reference>
        </references>
      </pivotArea>
    </format>
    <format dxfId="284">
      <pivotArea collapsedLevelsAreSubtotals="1" fieldPosition="0">
        <references count="1">
          <reference field="0" count="2">
            <x v="16"/>
            <x v="17"/>
          </reference>
        </references>
      </pivotArea>
    </format>
    <format dxfId="283">
      <pivotArea collapsedLevelsAreSubtotals="1" fieldPosition="0">
        <references count="2">
          <reference field="0" count="1">
            <x v="3"/>
          </reference>
          <reference field="2" count="1" selected="0">
            <x v="9"/>
          </reference>
        </references>
      </pivotArea>
    </format>
    <format dxfId="282">
      <pivotArea outline="0" collapsedLevelsAreSubtotals="1" fieldPosition="0">
        <references count="1">
          <reference field="2" count="1" selected="0">
            <x v="9"/>
          </reference>
        </references>
      </pivotArea>
    </format>
    <format dxfId="281">
      <pivotArea outline="0" collapsedLevelsAreSubtotals="1" fieldPosition="0">
        <references count="1">
          <reference field="2" count="1" selected="0">
            <x v="10"/>
          </reference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B57D05-67F2-4FB0-AEF2-CB3BA992D0BE}" name="Table1" displayName="Table1" ref="B3:F8" totalsRowShown="0" headerRowDxfId="328" dataDxfId="327">
  <autoFilter ref="B3:F8" xr:uid="{AEB57D05-67F2-4FB0-AEF2-CB3BA992D0BE}"/>
  <tableColumns count="5">
    <tableColumn id="1" xr3:uid="{FED40174-FCAC-4DF9-9FD9-5D6C118942FA}" name="RBA Scenario" dataDxfId="326"/>
    <tableColumn id="2" xr3:uid="{1BB0FA01-DEA4-42B2-B1D3-4993CA9027C3}" name="No." dataDxfId="325"/>
    <tableColumn id="3" xr3:uid="{4885A5EE-42EB-4142-BEED-E374E8AEE127}" name="." dataDxfId="324"/>
    <tableColumn id="4" xr3:uid="{F4B62D35-FFED-44BF-BE4A-7A2A92A85D6F}" name="Description" dataDxfId="323"/>
    <tableColumn id="5" xr3:uid="{5F6213B3-6D25-4C9E-AD5C-35B1E4754A22}" name="Impact" dataDxfId="3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597534-5524-4136-B376-0FF232AA582F}" name="Table14" displayName="Table14" ref="B10:F12" totalsRowShown="0" headerRowDxfId="321">
  <autoFilter ref="B10:F12" xr:uid="{B3597534-5524-4136-B376-0FF232AA582F}"/>
  <tableColumns count="5">
    <tableColumn id="1" xr3:uid="{8A1B9469-F474-4789-9F9B-B9FD445A51AC}" name="RBA Scenario" dataDxfId="320"/>
    <tableColumn id="2" xr3:uid="{9EA45085-154F-44EA-B99F-F6B81D4DE617}" name="No." dataDxfId="319"/>
    <tableColumn id="3" xr3:uid="{ABE13DC4-2D4C-44AF-B585-490EAB11DC5C}" name="." dataDxfId="318"/>
    <tableColumn id="4" xr3:uid="{12C18664-E2BB-4F29-AC72-9B8D1075569F}" name="Description"/>
    <tableColumn id="5" xr3:uid="{64A8F15D-D69D-4442-9B1A-C8A6043D269C}" name="Impac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3870D6-1F1B-4DF9-AE28-E260D518052A}" name="Table145" displayName="Table145" ref="B14:F17" totalsRowShown="0" headerRowDxfId="317" dataDxfId="316">
  <autoFilter ref="B14:F17" xr:uid="{043870D6-1F1B-4DF9-AE28-E260D518052A}"/>
  <tableColumns count="5">
    <tableColumn id="1" xr3:uid="{74563A10-F251-4F9D-9DE1-E6F837595BA4}" name="Strategy" dataDxfId="315"/>
    <tableColumn id="2" xr3:uid="{D7560423-3D39-4729-8838-E3719FA0BC4B}" name="No." dataDxfId="314"/>
    <tableColumn id="3" xr3:uid="{F3C2A484-ABFB-4481-99B5-2D994907A9A9}" name="." dataDxfId="313"/>
    <tableColumn id="4" xr3:uid="{F4E181D0-4F65-41CD-AA52-8A05BA066487}" name="Description" dataDxfId="312"/>
    <tableColumn id="5" xr3:uid="{CDA7C2F6-496B-4FE6-9B27-EC68C52AF251}" name="Impact" dataDxfId="3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C9EA32-6774-442E-9E2B-DC69E61BB5EA}" name="Table2" displayName="Table2" ref="H3:O8" totalsRowShown="0" headerRowDxfId="310" dataDxfId="308" headerRowBorderDxfId="309">
  <autoFilter ref="H3:O8" xr:uid="{E8C9EA32-6774-442E-9E2B-DC69E61BB5EA}"/>
  <tableColumns count="8">
    <tableColumn id="9" xr3:uid="{639AD191-2FDB-475F-880B-476CE8BA6E09}" name="Description" dataDxfId="307"/>
    <tableColumn id="1" xr3:uid="{EA07E17E-B6F5-4376-98E7-B1B84DA70DF0}" name="MSF Revenue" dataDxfId="306"/>
    <tableColumn id="2" xr3:uid="{48D96A77-9CE0-40C4-A19A-848D6E4C7F7C}" name="COA" dataDxfId="305"/>
    <tableColumn id="3" xr3:uid="{425B125C-3017-4409-B285-BD624FAB183A}" name="GP  Before Incentives" dataDxfId="304"/>
    <tableColumn id="4" xr3:uid="{CC0CC32B-906B-40EC-9384-8497C2F19E89}" name="GP Rate  %" dataDxfId="303"/>
    <tableColumn id="5" xr3:uid="{64FE0884-0547-4C07-8077-88D2D826F167}" name="Incentives" dataDxfId="302"/>
    <tableColumn id="6" xr3:uid="{6E23AD3A-D371-42AD-95F2-29C87F27AFF0}" name="GP After Incentives" dataDxfId="301"/>
    <tableColumn id="8" xr3:uid="{38920F1E-0036-4AB5-B204-6E2EEC14BFB4}" name="GP After Incentives  %" dataDxfId="3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63" Type="http://schemas.openxmlformats.org/officeDocument/2006/relationships/ctrlProp" Target="../ctrlProps/ctrlProp61.xml"/><Relationship Id="rId84" Type="http://schemas.openxmlformats.org/officeDocument/2006/relationships/ctrlProp" Target="../ctrlProps/ctrlProp82.xml"/><Relationship Id="rId138" Type="http://schemas.openxmlformats.org/officeDocument/2006/relationships/ctrlProp" Target="../ctrlProps/ctrlProp136.xml"/><Relationship Id="rId159" Type="http://schemas.openxmlformats.org/officeDocument/2006/relationships/ctrlProp" Target="../ctrlProps/ctrlProp157.xml"/><Relationship Id="rId170" Type="http://schemas.openxmlformats.org/officeDocument/2006/relationships/ctrlProp" Target="../ctrlProps/ctrlProp168.xml"/><Relationship Id="rId107" Type="http://schemas.openxmlformats.org/officeDocument/2006/relationships/ctrlProp" Target="../ctrlProps/ctrlProp105.xml"/><Relationship Id="rId11" Type="http://schemas.openxmlformats.org/officeDocument/2006/relationships/ctrlProp" Target="../ctrlProps/ctrlProp9.xml"/><Relationship Id="rId32" Type="http://schemas.openxmlformats.org/officeDocument/2006/relationships/ctrlProp" Target="../ctrlProps/ctrlProp30.xml"/><Relationship Id="rId53" Type="http://schemas.openxmlformats.org/officeDocument/2006/relationships/ctrlProp" Target="../ctrlProps/ctrlProp51.xml"/><Relationship Id="rId74" Type="http://schemas.openxmlformats.org/officeDocument/2006/relationships/ctrlProp" Target="../ctrlProps/ctrlProp72.xml"/><Relationship Id="rId128" Type="http://schemas.openxmlformats.org/officeDocument/2006/relationships/ctrlProp" Target="../ctrlProps/ctrlProp126.xml"/><Relationship Id="rId149" Type="http://schemas.openxmlformats.org/officeDocument/2006/relationships/ctrlProp" Target="../ctrlProps/ctrlProp147.xml"/><Relationship Id="rId5" Type="http://schemas.openxmlformats.org/officeDocument/2006/relationships/ctrlProp" Target="../ctrlProps/ctrlProp3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22" Type="http://schemas.openxmlformats.org/officeDocument/2006/relationships/ctrlProp" Target="../ctrlProps/ctrlProp20.xml"/><Relationship Id="rId43" Type="http://schemas.openxmlformats.org/officeDocument/2006/relationships/ctrlProp" Target="../ctrlProps/ctrlProp41.xml"/><Relationship Id="rId64" Type="http://schemas.openxmlformats.org/officeDocument/2006/relationships/ctrlProp" Target="../ctrlProps/ctrlProp62.xml"/><Relationship Id="rId118" Type="http://schemas.openxmlformats.org/officeDocument/2006/relationships/ctrlProp" Target="../ctrlProps/ctrlProp116.xml"/><Relationship Id="rId139" Type="http://schemas.openxmlformats.org/officeDocument/2006/relationships/ctrlProp" Target="../ctrlProps/ctrlProp137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171" Type="http://schemas.openxmlformats.org/officeDocument/2006/relationships/ctrlProp" Target="../ctrlProps/ctrlProp169.xml"/><Relationship Id="rId12" Type="http://schemas.openxmlformats.org/officeDocument/2006/relationships/ctrlProp" Target="../ctrlProps/ctrlProp10.xml"/><Relationship Id="rId33" Type="http://schemas.openxmlformats.org/officeDocument/2006/relationships/ctrlProp" Target="../ctrlProps/ctrlProp31.xml"/><Relationship Id="rId108" Type="http://schemas.openxmlformats.org/officeDocument/2006/relationships/ctrlProp" Target="../ctrlProps/ctrlProp106.xml"/><Relationship Id="rId129" Type="http://schemas.openxmlformats.org/officeDocument/2006/relationships/ctrlProp" Target="../ctrlProps/ctrlProp127.xml"/><Relationship Id="rId54" Type="http://schemas.openxmlformats.org/officeDocument/2006/relationships/ctrlProp" Target="../ctrlProps/ctrlProp52.xml"/><Relationship Id="rId70" Type="http://schemas.openxmlformats.org/officeDocument/2006/relationships/ctrlProp" Target="../ctrlProps/ctrlProp68.xml"/><Relationship Id="rId75" Type="http://schemas.openxmlformats.org/officeDocument/2006/relationships/ctrlProp" Target="../ctrlProps/ctrlProp73.xml"/><Relationship Id="rId91" Type="http://schemas.openxmlformats.org/officeDocument/2006/relationships/ctrlProp" Target="../ctrlProps/ctrlProp89.xml"/><Relationship Id="rId96" Type="http://schemas.openxmlformats.org/officeDocument/2006/relationships/ctrlProp" Target="../ctrlProps/ctrlProp94.xml"/><Relationship Id="rId140" Type="http://schemas.openxmlformats.org/officeDocument/2006/relationships/ctrlProp" Target="../ctrlProps/ctrlProp138.xml"/><Relationship Id="rId145" Type="http://schemas.openxmlformats.org/officeDocument/2006/relationships/ctrlProp" Target="../ctrlProps/ctrlProp143.xml"/><Relationship Id="rId161" Type="http://schemas.openxmlformats.org/officeDocument/2006/relationships/ctrlProp" Target="../ctrlProps/ctrlProp159.xml"/><Relationship Id="rId166" Type="http://schemas.openxmlformats.org/officeDocument/2006/relationships/ctrlProp" Target="../ctrlProps/ctrlProp164.x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4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119" Type="http://schemas.openxmlformats.org/officeDocument/2006/relationships/ctrlProp" Target="../ctrlProps/ctrlProp117.xml"/><Relationship Id="rId44" Type="http://schemas.openxmlformats.org/officeDocument/2006/relationships/ctrlProp" Target="../ctrlProps/ctrlProp42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81" Type="http://schemas.openxmlformats.org/officeDocument/2006/relationships/ctrlProp" Target="../ctrlProps/ctrlProp79.xml"/><Relationship Id="rId86" Type="http://schemas.openxmlformats.org/officeDocument/2006/relationships/ctrlProp" Target="../ctrlProps/ctrlProp84.xml"/><Relationship Id="rId130" Type="http://schemas.openxmlformats.org/officeDocument/2006/relationships/ctrlProp" Target="../ctrlProps/ctrlProp128.xml"/><Relationship Id="rId135" Type="http://schemas.openxmlformats.org/officeDocument/2006/relationships/ctrlProp" Target="../ctrlProps/ctrlProp133.xml"/><Relationship Id="rId151" Type="http://schemas.openxmlformats.org/officeDocument/2006/relationships/ctrlProp" Target="../ctrlProps/ctrlProp149.xml"/><Relationship Id="rId156" Type="http://schemas.openxmlformats.org/officeDocument/2006/relationships/ctrlProp" Target="../ctrlProps/ctrlProp154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109" Type="http://schemas.openxmlformats.org/officeDocument/2006/relationships/ctrlProp" Target="../ctrlProps/ctrlProp107.xml"/><Relationship Id="rId34" Type="http://schemas.openxmlformats.org/officeDocument/2006/relationships/ctrlProp" Target="../ctrlProps/ctrlProp32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97" Type="http://schemas.openxmlformats.org/officeDocument/2006/relationships/ctrlProp" Target="../ctrlProps/ctrlProp95.xml"/><Relationship Id="rId104" Type="http://schemas.openxmlformats.org/officeDocument/2006/relationships/ctrlProp" Target="../ctrlProps/ctrlProp102.xml"/><Relationship Id="rId120" Type="http://schemas.openxmlformats.org/officeDocument/2006/relationships/ctrlProp" Target="../ctrlProps/ctrlProp118.xml"/><Relationship Id="rId125" Type="http://schemas.openxmlformats.org/officeDocument/2006/relationships/ctrlProp" Target="../ctrlProps/ctrlProp123.xml"/><Relationship Id="rId141" Type="http://schemas.openxmlformats.org/officeDocument/2006/relationships/ctrlProp" Target="../ctrlProps/ctrlProp139.xml"/><Relationship Id="rId146" Type="http://schemas.openxmlformats.org/officeDocument/2006/relationships/ctrlProp" Target="../ctrlProps/ctrlProp144.xml"/><Relationship Id="rId167" Type="http://schemas.openxmlformats.org/officeDocument/2006/relationships/ctrlProp" Target="../ctrlProps/ctrlProp165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162" Type="http://schemas.openxmlformats.org/officeDocument/2006/relationships/ctrlProp" Target="../ctrlProps/ctrlProp160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4" Type="http://schemas.openxmlformats.org/officeDocument/2006/relationships/ctrlProp" Target="../ctrlProps/ctrlProp22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66" Type="http://schemas.openxmlformats.org/officeDocument/2006/relationships/ctrlProp" Target="../ctrlProps/ctrlProp64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115" Type="http://schemas.openxmlformats.org/officeDocument/2006/relationships/ctrlProp" Target="../ctrlProps/ctrlProp113.xml"/><Relationship Id="rId131" Type="http://schemas.openxmlformats.org/officeDocument/2006/relationships/ctrlProp" Target="../ctrlProps/ctrlProp129.xml"/><Relationship Id="rId136" Type="http://schemas.openxmlformats.org/officeDocument/2006/relationships/ctrlProp" Target="../ctrlProps/ctrlProp134.xml"/><Relationship Id="rId157" Type="http://schemas.openxmlformats.org/officeDocument/2006/relationships/ctrlProp" Target="../ctrlProps/ctrlProp155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52" Type="http://schemas.openxmlformats.org/officeDocument/2006/relationships/ctrlProp" Target="../ctrlProps/ctrlProp150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56" Type="http://schemas.openxmlformats.org/officeDocument/2006/relationships/ctrlProp" Target="../ctrlProps/ctrlProp54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105" Type="http://schemas.openxmlformats.org/officeDocument/2006/relationships/ctrlProp" Target="../ctrlProps/ctrlProp103.xml"/><Relationship Id="rId126" Type="http://schemas.openxmlformats.org/officeDocument/2006/relationships/ctrlProp" Target="../ctrlProps/ctrlProp124.xml"/><Relationship Id="rId147" Type="http://schemas.openxmlformats.org/officeDocument/2006/relationships/ctrlProp" Target="../ctrlProps/ctrlProp145.xml"/><Relationship Id="rId168" Type="http://schemas.openxmlformats.org/officeDocument/2006/relationships/ctrlProp" Target="../ctrlProps/ctrlProp166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93" Type="http://schemas.openxmlformats.org/officeDocument/2006/relationships/ctrlProp" Target="../ctrlProps/ctrlProp91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142" Type="http://schemas.openxmlformats.org/officeDocument/2006/relationships/ctrlProp" Target="../ctrlProps/ctrlProp140.xml"/><Relationship Id="rId163" Type="http://schemas.openxmlformats.org/officeDocument/2006/relationships/ctrlProp" Target="../ctrlProps/ctrlProp161.xml"/><Relationship Id="rId3" Type="http://schemas.openxmlformats.org/officeDocument/2006/relationships/ctrlProp" Target="../ctrlProps/ctrlProp1.xml"/><Relationship Id="rId25" Type="http://schemas.openxmlformats.org/officeDocument/2006/relationships/ctrlProp" Target="../ctrlProps/ctrlProp23.xml"/><Relationship Id="rId46" Type="http://schemas.openxmlformats.org/officeDocument/2006/relationships/ctrlProp" Target="../ctrlProps/ctrlProp44.xml"/><Relationship Id="rId67" Type="http://schemas.openxmlformats.org/officeDocument/2006/relationships/ctrlProp" Target="../ctrlProps/ctrlProp65.xml"/><Relationship Id="rId116" Type="http://schemas.openxmlformats.org/officeDocument/2006/relationships/ctrlProp" Target="../ctrlProps/ctrlProp114.xml"/><Relationship Id="rId137" Type="http://schemas.openxmlformats.org/officeDocument/2006/relationships/ctrlProp" Target="../ctrlProps/ctrlProp135.xml"/><Relationship Id="rId158" Type="http://schemas.openxmlformats.org/officeDocument/2006/relationships/ctrlProp" Target="../ctrlProps/ctrlProp156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62" Type="http://schemas.openxmlformats.org/officeDocument/2006/relationships/ctrlProp" Target="../ctrlProps/ctrlProp60.xml"/><Relationship Id="rId83" Type="http://schemas.openxmlformats.org/officeDocument/2006/relationships/ctrlProp" Target="../ctrlProps/ctrlProp81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32" Type="http://schemas.openxmlformats.org/officeDocument/2006/relationships/ctrlProp" Target="../ctrlProps/ctrlProp130.xml"/><Relationship Id="rId153" Type="http://schemas.openxmlformats.org/officeDocument/2006/relationships/ctrlProp" Target="../ctrlProps/ctrlProp151.xml"/><Relationship Id="rId15" Type="http://schemas.openxmlformats.org/officeDocument/2006/relationships/ctrlProp" Target="../ctrlProps/ctrlProp13.xml"/><Relationship Id="rId36" Type="http://schemas.openxmlformats.org/officeDocument/2006/relationships/ctrlProp" Target="../ctrlProps/ctrlProp34.xml"/><Relationship Id="rId57" Type="http://schemas.openxmlformats.org/officeDocument/2006/relationships/ctrlProp" Target="../ctrlProps/ctrlProp55.xml"/><Relationship Id="rId106" Type="http://schemas.openxmlformats.org/officeDocument/2006/relationships/ctrlProp" Target="../ctrlProps/ctrlProp104.xml"/><Relationship Id="rId127" Type="http://schemas.openxmlformats.org/officeDocument/2006/relationships/ctrlProp" Target="../ctrlProps/ctrlProp12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52" Type="http://schemas.openxmlformats.org/officeDocument/2006/relationships/ctrlProp" Target="../ctrlProps/ctrlProp50.xml"/><Relationship Id="rId73" Type="http://schemas.openxmlformats.org/officeDocument/2006/relationships/ctrlProp" Target="../ctrlProps/ctrlProp71.xml"/><Relationship Id="rId78" Type="http://schemas.openxmlformats.org/officeDocument/2006/relationships/ctrlProp" Target="../ctrlProps/ctrlProp76.xml"/><Relationship Id="rId94" Type="http://schemas.openxmlformats.org/officeDocument/2006/relationships/ctrlProp" Target="../ctrlProps/ctrlProp92.xml"/><Relationship Id="rId99" Type="http://schemas.openxmlformats.org/officeDocument/2006/relationships/ctrlProp" Target="../ctrlProps/ctrlProp97.xml"/><Relationship Id="rId101" Type="http://schemas.openxmlformats.org/officeDocument/2006/relationships/ctrlProp" Target="../ctrlProps/ctrlProp99.xml"/><Relationship Id="rId122" Type="http://schemas.openxmlformats.org/officeDocument/2006/relationships/ctrlProp" Target="../ctrlProps/ctrlProp120.xml"/><Relationship Id="rId143" Type="http://schemas.openxmlformats.org/officeDocument/2006/relationships/ctrlProp" Target="../ctrlProps/ctrlProp141.xml"/><Relationship Id="rId148" Type="http://schemas.openxmlformats.org/officeDocument/2006/relationships/ctrlProp" Target="../ctrlProps/ctrlProp146.xml"/><Relationship Id="rId164" Type="http://schemas.openxmlformats.org/officeDocument/2006/relationships/ctrlProp" Target="../ctrlProps/ctrlProp162.xml"/><Relationship Id="rId169" Type="http://schemas.openxmlformats.org/officeDocument/2006/relationships/ctrlProp" Target="../ctrlProps/ctrlProp16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26" Type="http://schemas.openxmlformats.org/officeDocument/2006/relationships/ctrlProp" Target="../ctrlProps/ctrlProp24.xml"/><Relationship Id="rId47" Type="http://schemas.openxmlformats.org/officeDocument/2006/relationships/ctrlProp" Target="../ctrlProps/ctrlProp45.xml"/><Relationship Id="rId68" Type="http://schemas.openxmlformats.org/officeDocument/2006/relationships/ctrlProp" Target="../ctrlProps/ctrlProp66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33" Type="http://schemas.openxmlformats.org/officeDocument/2006/relationships/ctrlProp" Target="../ctrlProps/ctrlProp131.xml"/><Relationship Id="rId154" Type="http://schemas.openxmlformats.org/officeDocument/2006/relationships/ctrlProp" Target="../ctrlProps/ctrlProp152.xml"/><Relationship Id="rId16" Type="http://schemas.openxmlformats.org/officeDocument/2006/relationships/ctrlProp" Target="../ctrlProps/ctrlProp14.xml"/><Relationship Id="rId37" Type="http://schemas.openxmlformats.org/officeDocument/2006/relationships/ctrlProp" Target="../ctrlProps/ctrlProp35.xml"/><Relationship Id="rId58" Type="http://schemas.openxmlformats.org/officeDocument/2006/relationships/ctrlProp" Target="../ctrlProps/ctrlProp56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23" Type="http://schemas.openxmlformats.org/officeDocument/2006/relationships/ctrlProp" Target="../ctrlProps/ctrlProp121.xml"/><Relationship Id="rId144" Type="http://schemas.openxmlformats.org/officeDocument/2006/relationships/ctrlProp" Target="../ctrlProps/ctrlProp142.xml"/><Relationship Id="rId90" Type="http://schemas.openxmlformats.org/officeDocument/2006/relationships/ctrlProp" Target="../ctrlProps/ctrlProp88.xml"/><Relationship Id="rId165" Type="http://schemas.openxmlformats.org/officeDocument/2006/relationships/ctrlProp" Target="../ctrlProps/ctrlProp163.xml"/><Relationship Id="rId27" Type="http://schemas.openxmlformats.org/officeDocument/2006/relationships/ctrlProp" Target="../ctrlProps/ctrlProp25.xml"/><Relationship Id="rId48" Type="http://schemas.openxmlformats.org/officeDocument/2006/relationships/ctrlProp" Target="../ctrlProps/ctrlProp46.xml"/><Relationship Id="rId69" Type="http://schemas.openxmlformats.org/officeDocument/2006/relationships/ctrlProp" Target="../ctrlProps/ctrlProp67.xml"/><Relationship Id="rId113" Type="http://schemas.openxmlformats.org/officeDocument/2006/relationships/ctrlProp" Target="../ctrlProps/ctrlProp111.xml"/><Relationship Id="rId134" Type="http://schemas.openxmlformats.org/officeDocument/2006/relationships/ctrlProp" Target="../ctrlProps/ctrlProp132.xml"/><Relationship Id="rId80" Type="http://schemas.openxmlformats.org/officeDocument/2006/relationships/ctrlProp" Target="../ctrlProps/ctrlProp78.xml"/><Relationship Id="rId155" Type="http://schemas.openxmlformats.org/officeDocument/2006/relationships/ctrlProp" Target="../ctrlProps/ctrlProp153.xml"/><Relationship Id="rId17" Type="http://schemas.openxmlformats.org/officeDocument/2006/relationships/ctrlProp" Target="../ctrlProps/ctrlProp15.xml"/><Relationship Id="rId38" Type="http://schemas.openxmlformats.org/officeDocument/2006/relationships/ctrlProp" Target="../ctrlProps/ctrlProp36.xml"/><Relationship Id="rId59" Type="http://schemas.openxmlformats.org/officeDocument/2006/relationships/ctrlProp" Target="../ctrlProps/ctrlProp57.xml"/><Relationship Id="rId103" Type="http://schemas.openxmlformats.org/officeDocument/2006/relationships/ctrlProp" Target="../ctrlProps/ctrlProp101.xml"/><Relationship Id="rId124" Type="http://schemas.openxmlformats.org/officeDocument/2006/relationships/ctrlProp" Target="../ctrlProps/ctrlProp12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96"/>
  <sheetViews>
    <sheetView showGridLines="0" zoomScale="84" zoomScaleNormal="84" workbookViewId="0">
      <selection sqref="A1:L1"/>
    </sheetView>
  </sheetViews>
  <sheetFormatPr defaultRowHeight="15" x14ac:dyDescent="0.25"/>
  <cols>
    <col min="1" max="1" width="19.7109375" customWidth="1"/>
    <col min="2" max="2" width="6.85546875" hidden="1" customWidth="1"/>
    <col min="3" max="10" width="14" customWidth="1"/>
    <col min="11" max="11" width="15" bestFit="1" customWidth="1"/>
    <col min="12" max="12" width="14" customWidth="1"/>
    <col min="13" max="13" width="14" bestFit="1" customWidth="1"/>
  </cols>
  <sheetData>
    <row r="1" spans="1:12" ht="23.65" customHeight="1" x14ac:dyDescent="0.35">
      <c r="A1" s="716" t="s">
        <v>0</v>
      </c>
      <c r="B1" s="717"/>
      <c r="C1" s="717"/>
      <c r="D1" s="717"/>
      <c r="E1" s="717"/>
      <c r="F1" s="717"/>
      <c r="G1" s="717"/>
      <c r="H1" s="717"/>
      <c r="I1" s="717"/>
      <c r="J1" s="717"/>
      <c r="K1" s="717"/>
      <c r="L1" s="717"/>
    </row>
    <row r="2" spans="1:12" ht="29.1" customHeight="1" x14ac:dyDescent="0.25">
      <c r="A2" s="93" t="s">
        <v>1</v>
      </c>
      <c r="B2" s="16"/>
      <c r="C2" s="19" t="s">
        <v>2</v>
      </c>
      <c r="D2" s="23" t="s">
        <v>3</v>
      </c>
      <c r="E2" s="25" t="s">
        <v>4</v>
      </c>
      <c r="F2" s="27" t="s">
        <v>5</v>
      </c>
      <c r="G2" s="25" t="s">
        <v>6</v>
      </c>
      <c r="H2" s="27" t="s">
        <v>7</v>
      </c>
      <c r="I2" s="25" t="s">
        <v>8</v>
      </c>
      <c r="J2" s="27" t="s">
        <v>9</v>
      </c>
      <c r="K2" s="23" t="s">
        <v>10</v>
      </c>
      <c r="L2" s="21" t="s">
        <v>11</v>
      </c>
    </row>
    <row r="3" spans="1:12" x14ac:dyDescent="0.25">
      <c r="A3" s="18" t="s">
        <v>12</v>
      </c>
      <c r="B3" s="17" t="s">
        <v>13</v>
      </c>
      <c r="C3" s="20" t="s">
        <v>1</v>
      </c>
      <c r="D3" s="24" t="s">
        <v>1</v>
      </c>
      <c r="E3" s="26" t="s">
        <v>1</v>
      </c>
      <c r="F3" s="24" t="s">
        <v>1</v>
      </c>
      <c r="G3" s="26" t="s">
        <v>1</v>
      </c>
      <c r="H3" s="24" t="s">
        <v>1</v>
      </c>
      <c r="I3" s="26" t="s">
        <v>1</v>
      </c>
      <c r="J3" s="24" t="s">
        <v>1</v>
      </c>
      <c r="K3" s="24" t="s">
        <v>1</v>
      </c>
      <c r="L3" s="22" t="s">
        <v>14</v>
      </c>
    </row>
    <row r="4" spans="1:12" x14ac:dyDescent="0.25">
      <c r="A4" s="663" t="s">
        <v>15</v>
      </c>
      <c r="B4" s="4">
        <v>461.55999999999995</v>
      </c>
      <c r="C4" s="11">
        <v>3513336.72</v>
      </c>
      <c r="D4" s="6">
        <v>22346622.780000009</v>
      </c>
      <c r="E4" s="11">
        <v>2616131.8100000015</v>
      </c>
      <c r="F4" s="6">
        <v>15284097.470000001</v>
      </c>
      <c r="G4" s="11">
        <v>16780190.190000013</v>
      </c>
      <c r="H4" s="6">
        <v>3679803.4800000009</v>
      </c>
      <c r="I4" s="11">
        <v>1832306.2899999998</v>
      </c>
      <c r="J4" s="6">
        <v>1795722.3000000005</v>
      </c>
      <c r="K4" s="15">
        <f>SUM(C4:J4)</f>
        <v>67848211.040000021</v>
      </c>
      <c r="L4" s="664">
        <f>K4/$K$24</f>
        <v>0.46594454634076832</v>
      </c>
    </row>
    <row r="5" spans="1:12" x14ac:dyDescent="0.25">
      <c r="A5" s="665" t="s">
        <v>16</v>
      </c>
      <c r="C5" s="12">
        <f>C4/$K$4</f>
        <v>5.1782304443203475E-2</v>
      </c>
      <c r="D5" s="5">
        <f t="shared" ref="D5:J5" si="0">D4/$K$4</f>
        <v>0.32936200435447771</v>
      </c>
      <c r="E5" s="12">
        <f t="shared" si="0"/>
        <v>3.8558596754417841E-2</v>
      </c>
      <c r="F5" s="5">
        <f t="shared" si="0"/>
        <v>0.22526898256741415</v>
      </c>
      <c r="G5" s="12">
        <f t="shared" si="0"/>
        <v>0.24731956720431766</v>
      </c>
      <c r="H5" s="5">
        <f t="shared" si="0"/>
        <v>5.4235821749678365E-2</v>
      </c>
      <c r="I5" s="12">
        <f t="shared" si="0"/>
        <v>2.700596319215787E-2</v>
      </c>
      <c r="J5" s="5">
        <f t="shared" si="0"/>
        <v>2.6466759734333004E-2</v>
      </c>
      <c r="K5" s="12">
        <f>K4/$K$4</f>
        <v>1</v>
      </c>
      <c r="L5" s="666"/>
    </row>
    <row r="6" spans="1:12" x14ac:dyDescent="0.25">
      <c r="A6" s="667" t="s">
        <v>17</v>
      </c>
      <c r="B6" s="4"/>
      <c r="C6" s="13">
        <v>28971.789999999994</v>
      </c>
      <c r="D6" s="6">
        <v>992912.44000000029</v>
      </c>
      <c r="E6" s="13">
        <v>99801.569999999992</v>
      </c>
      <c r="F6" s="6">
        <v>577670.54000000015</v>
      </c>
      <c r="G6" s="13">
        <v>345338.64000000013</v>
      </c>
      <c r="H6" s="6">
        <v>128398</v>
      </c>
      <c r="I6" s="13">
        <v>8759.07</v>
      </c>
      <c r="J6" s="6">
        <v>15389.529999999999</v>
      </c>
      <c r="K6" s="15">
        <f>SUM(C6:J6)</f>
        <v>2197241.58</v>
      </c>
      <c r="L6" s="668">
        <f>K6/$K$24</f>
        <v>1.5089458004877893E-2</v>
      </c>
    </row>
    <row r="7" spans="1:12" x14ac:dyDescent="0.25">
      <c r="A7" s="665" t="s">
        <v>16</v>
      </c>
      <c r="C7" s="12">
        <f>C6/$K$6</f>
        <v>1.3185527828942684E-2</v>
      </c>
      <c r="D7" s="5">
        <f t="shared" ref="D7:K7" si="1">D6/$K$6</f>
        <v>0.45189042890768538</v>
      </c>
      <c r="E7" s="12">
        <f t="shared" si="1"/>
        <v>4.5421300465286113E-2</v>
      </c>
      <c r="F7" s="5">
        <f t="shared" si="1"/>
        <v>0.26290715834714912</v>
      </c>
      <c r="G7" s="12">
        <f t="shared" si="1"/>
        <v>0.15716917208530165</v>
      </c>
      <c r="H7" s="5">
        <f t="shared" si="1"/>
        <v>5.8435995918118384E-2</v>
      </c>
      <c r="I7" s="12">
        <f t="shared" si="1"/>
        <v>3.9863937036909705E-3</v>
      </c>
      <c r="J7" s="5">
        <f t="shared" si="1"/>
        <v>7.0040227438259196E-3</v>
      </c>
      <c r="K7" s="12">
        <f t="shared" si="1"/>
        <v>1</v>
      </c>
      <c r="L7" s="666"/>
    </row>
    <row r="8" spans="1:12" x14ac:dyDescent="0.25">
      <c r="A8" s="667" t="s">
        <v>18</v>
      </c>
      <c r="B8" s="4">
        <v>33.090000000000003</v>
      </c>
      <c r="C8" s="13">
        <v>3451836.4899999993</v>
      </c>
      <c r="D8" s="6">
        <v>14232255.489999998</v>
      </c>
      <c r="E8" s="13">
        <v>2063144.4300000002</v>
      </c>
      <c r="F8" s="6">
        <v>10380845.669999996</v>
      </c>
      <c r="G8" s="13">
        <v>14191344.989999996</v>
      </c>
      <c r="H8" s="6">
        <v>3283670.7599999988</v>
      </c>
      <c r="I8" s="13">
        <v>1251747</v>
      </c>
      <c r="J8" s="6">
        <v>1056702.6200000001</v>
      </c>
      <c r="K8" s="15">
        <f>SUM(C8:J8)</f>
        <v>49911547.449999981</v>
      </c>
      <c r="L8" s="668">
        <f>K8/$K$24</f>
        <v>0.34276531359161927</v>
      </c>
    </row>
    <row r="9" spans="1:12" x14ac:dyDescent="0.25">
      <c r="A9" s="665" t="s">
        <v>16</v>
      </c>
      <c r="C9" s="12">
        <f>C8/$K$8</f>
        <v>6.9159075732082936E-2</v>
      </c>
      <c r="D9" s="5">
        <f t="shared" ref="D9:K9" si="2">D8/$K$8</f>
        <v>0.28514955390348257</v>
      </c>
      <c r="E9" s="12">
        <f t="shared" si="2"/>
        <v>4.1336014117109909E-2</v>
      </c>
      <c r="F9" s="5">
        <f t="shared" si="2"/>
        <v>0.20798484920547181</v>
      </c>
      <c r="G9" s="12">
        <f t="shared" si="2"/>
        <v>0.28432989388310381</v>
      </c>
      <c r="H9" s="5">
        <f t="shared" si="2"/>
        <v>6.5789800712740681E-2</v>
      </c>
      <c r="I9" s="12">
        <f t="shared" si="2"/>
        <v>2.507930657237117E-2</v>
      </c>
      <c r="J9" s="5">
        <f t="shared" si="2"/>
        <v>2.1171505873637274E-2</v>
      </c>
      <c r="K9" s="12">
        <f t="shared" si="2"/>
        <v>1</v>
      </c>
      <c r="L9" s="666"/>
    </row>
    <row r="10" spans="1:12" x14ac:dyDescent="0.25">
      <c r="A10" s="667" t="s">
        <v>19</v>
      </c>
      <c r="B10" s="4">
        <v>4.05</v>
      </c>
      <c r="C10" s="13">
        <v>204984.90000000002</v>
      </c>
      <c r="D10" s="6">
        <v>2129764.1300000013</v>
      </c>
      <c r="E10" s="13">
        <v>270174.44999999995</v>
      </c>
      <c r="F10" s="6">
        <v>1703842.1900000004</v>
      </c>
      <c r="G10" s="13">
        <v>1710872.9400000004</v>
      </c>
      <c r="H10" s="6">
        <v>351036.35000000009</v>
      </c>
      <c r="I10" s="13">
        <v>143753.76000000015</v>
      </c>
      <c r="J10" s="6">
        <v>145986.39999999991</v>
      </c>
      <c r="K10" s="15">
        <f>SUM(C10:J10)</f>
        <v>6660415.1200000029</v>
      </c>
      <c r="L10" s="668">
        <f>K10/$K$24</f>
        <v>4.5740102118536186E-2</v>
      </c>
    </row>
    <row r="11" spans="1:12" x14ac:dyDescent="0.25">
      <c r="A11" s="665" t="s">
        <v>16</v>
      </c>
      <c r="C11" s="12">
        <f>C10/$K$10</f>
        <v>3.0776595198168361E-2</v>
      </c>
      <c r="D11" s="5">
        <f t="shared" ref="D11:K11" si="3">D10/$K$10</f>
        <v>0.31976447287868154</v>
      </c>
      <c r="E11" s="12">
        <f t="shared" si="3"/>
        <v>4.0564205853883747E-2</v>
      </c>
      <c r="F11" s="5">
        <f t="shared" si="3"/>
        <v>0.25581621555144146</v>
      </c>
      <c r="G11" s="12">
        <f t="shared" si="3"/>
        <v>0.25687181792356506</v>
      </c>
      <c r="H11" s="5">
        <f t="shared" si="3"/>
        <v>5.2704875548357705E-2</v>
      </c>
      <c r="I11" s="12">
        <f t="shared" si="3"/>
        <v>2.1583303354220974E-2</v>
      </c>
      <c r="J11" s="5">
        <f t="shared" si="3"/>
        <v>2.1918513691681105E-2</v>
      </c>
      <c r="K11" s="12">
        <f t="shared" si="3"/>
        <v>1</v>
      </c>
      <c r="L11" s="666"/>
    </row>
    <row r="12" spans="1:12" x14ac:dyDescent="0.25">
      <c r="A12" s="667" t="s">
        <v>20</v>
      </c>
      <c r="B12" s="4"/>
      <c r="C12" s="13">
        <v>10150.43</v>
      </c>
      <c r="D12" s="6">
        <v>163384.25000000003</v>
      </c>
      <c r="E12" s="13">
        <v>22548.799999999996</v>
      </c>
      <c r="F12" s="6">
        <v>79880.649999999994</v>
      </c>
      <c r="G12" s="13">
        <v>124934.34000000003</v>
      </c>
      <c r="H12" s="6">
        <v>24332.050000000003</v>
      </c>
      <c r="I12" s="13">
        <v>2978.54</v>
      </c>
      <c r="J12" s="6">
        <v>3211.2799999999997</v>
      </c>
      <c r="K12" s="15">
        <f>SUM(C12:J12)</f>
        <v>431420.34</v>
      </c>
      <c r="L12" s="668">
        <f>K12/$K$24</f>
        <v>2.9627598358484288E-3</v>
      </c>
    </row>
    <row r="13" spans="1:12" x14ac:dyDescent="0.25">
      <c r="A13" s="665" t="s">
        <v>16</v>
      </c>
      <c r="C13" s="12">
        <f>C12/$K$12</f>
        <v>2.3527935655514063E-2</v>
      </c>
      <c r="D13" s="5">
        <f t="shared" ref="D13:K13" si="4">D12/$K$12</f>
        <v>0.37871244086451744</v>
      </c>
      <c r="E13" s="12">
        <f t="shared" si="4"/>
        <v>5.2266427679325447E-2</v>
      </c>
      <c r="F13" s="5">
        <f t="shared" si="4"/>
        <v>0.18515735720759013</v>
      </c>
      <c r="G13" s="12">
        <f t="shared" si="4"/>
        <v>0.28958843247863564</v>
      </c>
      <c r="H13" s="5">
        <f t="shared" si="4"/>
        <v>5.6399867470319089E-2</v>
      </c>
      <c r="I13" s="12">
        <f t="shared" si="4"/>
        <v>6.9040323875318435E-3</v>
      </c>
      <c r="J13" s="5">
        <f t="shared" si="4"/>
        <v>7.4435062565663904E-3</v>
      </c>
      <c r="K13" s="12">
        <f t="shared" si="4"/>
        <v>1</v>
      </c>
      <c r="L13" s="666"/>
    </row>
    <row r="14" spans="1:12" x14ac:dyDescent="0.25">
      <c r="A14" s="667" t="s">
        <v>21</v>
      </c>
      <c r="B14" s="4"/>
      <c r="C14" s="13">
        <v>158854.65000000002</v>
      </c>
      <c r="D14" s="6">
        <v>2604721.9599999995</v>
      </c>
      <c r="E14" s="13">
        <v>270902.85000000003</v>
      </c>
      <c r="F14" s="6">
        <v>1362981.5900000005</v>
      </c>
      <c r="G14" s="13">
        <v>1382177.67</v>
      </c>
      <c r="H14" s="6">
        <v>368459.10000000033</v>
      </c>
      <c r="I14" s="13">
        <v>72423.789999999994</v>
      </c>
      <c r="J14" s="6">
        <v>80688.459999999977</v>
      </c>
      <c r="K14" s="15">
        <f>SUM(C14:J14)</f>
        <v>6301210.0700000003</v>
      </c>
      <c r="L14" s="668">
        <f>K14/$K$24</f>
        <v>4.3273277547923837E-2</v>
      </c>
    </row>
    <row r="15" spans="1:12" x14ac:dyDescent="0.25">
      <c r="A15" s="665" t="s">
        <v>16</v>
      </c>
      <c r="C15" s="12">
        <f>C14/$K$14</f>
        <v>2.5210181573902046E-2</v>
      </c>
      <c r="D15" s="5">
        <f t="shared" ref="D15:K15" si="5">D14/$K$14</f>
        <v>0.41336853256187339</v>
      </c>
      <c r="E15" s="12">
        <f t="shared" si="5"/>
        <v>4.299219467222111E-2</v>
      </c>
      <c r="F15" s="5">
        <f t="shared" si="5"/>
        <v>0.21630473748036788</v>
      </c>
      <c r="G15" s="12">
        <f t="shared" si="5"/>
        <v>0.21935114916744869</v>
      </c>
      <c r="H15" s="5">
        <f t="shared" si="5"/>
        <v>5.847433999292144E-2</v>
      </c>
      <c r="I15" s="12">
        <f t="shared" si="5"/>
        <v>1.1493632047725079E-2</v>
      </c>
      <c r="J15" s="5">
        <f t="shared" si="5"/>
        <v>1.2805232503540383E-2</v>
      </c>
      <c r="K15" s="12">
        <f t="shared" si="5"/>
        <v>1</v>
      </c>
      <c r="L15" s="666"/>
    </row>
    <row r="16" spans="1:12" x14ac:dyDescent="0.25">
      <c r="A16" s="667" t="s">
        <v>22</v>
      </c>
      <c r="B16" s="4"/>
      <c r="C16" s="13">
        <v>74247.37999999999</v>
      </c>
      <c r="D16" s="6">
        <v>740799.37999999989</v>
      </c>
      <c r="E16" s="13">
        <v>84684.25999999998</v>
      </c>
      <c r="F16" s="6">
        <v>442880.75</v>
      </c>
      <c r="G16" s="13">
        <v>535515.33999999973</v>
      </c>
      <c r="H16" s="6">
        <v>126869.26000000002</v>
      </c>
      <c r="I16" s="13">
        <v>39136.29</v>
      </c>
      <c r="J16" s="6">
        <v>42223.59</v>
      </c>
      <c r="K16" s="15">
        <f>SUM(C16:J16)</f>
        <v>2086356.25</v>
      </c>
      <c r="L16" s="668">
        <f>K16/$K$24</f>
        <v>1.4327957974284067E-2</v>
      </c>
    </row>
    <row r="17" spans="1:13" x14ac:dyDescent="0.25">
      <c r="A17" s="665" t="s">
        <v>16</v>
      </c>
      <c r="C17" s="12">
        <f>C16/$K$16</f>
        <v>3.5587105509905126E-2</v>
      </c>
      <c r="D17" s="5">
        <f t="shared" ref="D17:K17" si="6">D16/$K$16</f>
        <v>0.35506849800938833</v>
      </c>
      <c r="E17" s="12">
        <f t="shared" si="6"/>
        <v>4.0589549363873011E-2</v>
      </c>
      <c r="F17" s="5">
        <f t="shared" si="6"/>
        <v>0.21227474933870955</v>
      </c>
      <c r="G17" s="12">
        <f t="shared" si="6"/>
        <v>0.25667492787964652</v>
      </c>
      <c r="H17" s="5">
        <f t="shared" si="6"/>
        <v>6.0809010925147622E-2</v>
      </c>
      <c r="I17" s="12">
        <f t="shared" si="6"/>
        <v>1.8758201050276049E-2</v>
      </c>
      <c r="J17" s="5">
        <f t="shared" si="6"/>
        <v>2.0237957923053648E-2</v>
      </c>
      <c r="K17" s="12">
        <f t="shared" si="6"/>
        <v>1</v>
      </c>
      <c r="L17" s="666"/>
    </row>
    <row r="18" spans="1:13" x14ac:dyDescent="0.25">
      <c r="A18" s="667" t="s">
        <v>23</v>
      </c>
      <c r="B18" s="4">
        <v>-11.480000000000004</v>
      </c>
      <c r="C18" s="13">
        <v>206020.00000000009</v>
      </c>
      <c r="D18" s="6">
        <v>3049936.5900000003</v>
      </c>
      <c r="E18" s="13">
        <v>358214.68000000028</v>
      </c>
      <c r="F18" s="6">
        <v>2294382.3500000015</v>
      </c>
      <c r="G18" s="13">
        <v>1813340.4600000007</v>
      </c>
      <c r="H18" s="6">
        <v>538449.53000000014</v>
      </c>
      <c r="I18" s="13">
        <v>111256.40999999999</v>
      </c>
      <c r="J18" s="6">
        <v>118027.94000000002</v>
      </c>
      <c r="K18" s="15">
        <f>SUM(C18:J18)</f>
        <v>8489627.9600000028</v>
      </c>
      <c r="L18" s="668">
        <f>K18/$K$24</f>
        <v>5.8302139257467182E-2</v>
      </c>
    </row>
    <row r="19" spans="1:13" x14ac:dyDescent="0.25">
      <c r="A19" s="665" t="s">
        <v>16</v>
      </c>
      <c r="C19" s="12">
        <f>C18/$K$18</f>
        <v>2.4267258938871099E-2</v>
      </c>
      <c r="D19" s="5">
        <f t="shared" ref="D19:K19" si="7">D18/$K$18</f>
        <v>0.35925444605702123</v>
      </c>
      <c r="E19" s="12">
        <f t="shared" si="7"/>
        <v>4.2194390812857266E-2</v>
      </c>
      <c r="F19" s="5">
        <f t="shared" si="7"/>
        <v>0.27025711383470341</v>
      </c>
      <c r="G19" s="12">
        <f t="shared" si="7"/>
        <v>0.21359480869406675</v>
      </c>
      <c r="H19" s="5">
        <f t="shared" si="7"/>
        <v>6.3424396515015247E-2</v>
      </c>
      <c r="I19" s="12">
        <f t="shared" si="7"/>
        <v>1.3104980633332718E-2</v>
      </c>
      <c r="J19" s="5">
        <f t="shared" si="7"/>
        <v>1.3902604514132322E-2</v>
      </c>
      <c r="K19" s="12">
        <f t="shared" si="7"/>
        <v>1</v>
      </c>
      <c r="L19" s="666"/>
    </row>
    <row r="20" spans="1:13" x14ac:dyDescent="0.25">
      <c r="A20" s="667" t="s">
        <v>24</v>
      </c>
      <c r="B20" s="4"/>
      <c r="C20" s="13">
        <v>4644.67</v>
      </c>
      <c r="D20" s="6">
        <v>175277.07000000004</v>
      </c>
      <c r="E20" s="13">
        <v>18714.93</v>
      </c>
      <c r="F20" s="6">
        <v>86946.41</v>
      </c>
      <c r="G20" s="13">
        <v>78192.75999999998</v>
      </c>
      <c r="H20" s="6">
        <v>22509.51</v>
      </c>
      <c r="I20" s="13">
        <v>1067.22</v>
      </c>
      <c r="J20" s="6">
        <v>538.85</v>
      </c>
      <c r="K20" s="15">
        <f>SUM(C20:J20)</f>
        <v>387891.42000000004</v>
      </c>
      <c r="L20" s="668">
        <f>K20/$K$24</f>
        <v>2.6638269300103328E-3</v>
      </c>
    </row>
    <row r="21" spans="1:13" x14ac:dyDescent="0.25">
      <c r="A21" s="665" t="s">
        <v>16</v>
      </c>
      <c r="C21" s="12">
        <f>C20/$K$20</f>
        <v>1.1974149879365724E-2</v>
      </c>
      <c r="D21" s="5">
        <f t="shared" ref="D21:K21" si="8">D20/$K$20</f>
        <v>0.45187147991053789</v>
      </c>
      <c r="E21" s="12">
        <f t="shared" si="8"/>
        <v>4.8247857609224766E-2</v>
      </c>
      <c r="F21" s="5">
        <f t="shared" si="8"/>
        <v>0.22415141330014465</v>
      </c>
      <c r="G21" s="12">
        <f t="shared" si="8"/>
        <v>0.20158414434637398</v>
      </c>
      <c r="H21" s="5">
        <f t="shared" si="8"/>
        <v>5.8030440580510899E-2</v>
      </c>
      <c r="I21" s="12">
        <f t="shared" si="8"/>
        <v>2.7513369591933741E-3</v>
      </c>
      <c r="J21" s="5">
        <f t="shared" si="8"/>
        <v>1.3891774146486662E-3</v>
      </c>
      <c r="K21" s="12">
        <f t="shared" si="8"/>
        <v>1</v>
      </c>
      <c r="L21" s="666"/>
    </row>
    <row r="22" spans="1:13" x14ac:dyDescent="0.25">
      <c r="A22" s="667" t="s">
        <v>25</v>
      </c>
      <c r="B22" s="4"/>
      <c r="C22" s="14">
        <f>C38</f>
        <v>120700.87000000001</v>
      </c>
      <c r="D22" s="10">
        <f t="shared" ref="D22:J22" si="9">D38</f>
        <v>0</v>
      </c>
      <c r="E22" s="14">
        <f t="shared" si="9"/>
        <v>41308.69</v>
      </c>
      <c r="F22" s="10">
        <f t="shared" si="9"/>
        <v>508165.40999999992</v>
      </c>
      <c r="G22" s="14">
        <f t="shared" si="9"/>
        <v>142675.57</v>
      </c>
      <c r="H22" s="10">
        <f t="shared" si="9"/>
        <v>94535.090000000011</v>
      </c>
      <c r="I22" s="14">
        <f t="shared" si="9"/>
        <v>160029.21</v>
      </c>
      <c r="J22" s="10">
        <f t="shared" si="9"/>
        <v>233001.33000000005</v>
      </c>
      <c r="K22" s="15">
        <f>SUM(C22:J22)</f>
        <v>1300416.1700000002</v>
      </c>
      <c r="L22" s="668">
        <f>K22/$K$24</f>
        <v>8.9305497241132462E-3</v>
      </c>
    </row>
    <row r="23" spans="1:13" x14ac:dyDescent="0.25">
      <c r="A23" s="665" t="s">
        <v>16</v>
      </c>
      <c r="C23" s="12">
        <f>C22/$K$22</f>
        <v>9.2817109464272504E-2</v>
      </c>
      <c r="D23" s="5">
        <f t="shared" ref="D23:K23" si="10">D22/$K$22</f>
        <v>0</v>
      </c>
      <c r="E23" s="12">
        <f t="shared" si="10"/>
        <v>3.1765746191851796E-2</v>
      </c>
      <c r="F23" s="5">
        <f t="shared" si="10"/>
        <v>0.39077137129108436</v>
      </c>
      <c r="G23" s="12">
        <f t="shared" si="10"/>
        <v>0.10971531521328283</v>
      </c>
      <c r="H23" s="5">
        <f t="shared" si="10"/>
        <v>7.2696027764711665E-2</v>
      </c>
      <c r="I23" s="12">
        <f t="shared" si="10"/>
        <v>0.12305999701618596</v>
      </c>
      <c r="J23" s="5">
        <f t="shared" si="10"/>
        <v>0.17917443305861078</v>
      </c>
      <c r="K23" s="12">
        <f t="shared" si="10"/>
        <v>1</v>
      </c>
      <c r="L23" s="666"/>
    </row>
    <row r="24" spans="1:13" x14ac:dyDescent="0.25">
      <c r="A24" s="28" t="s">
        <v>10</v>
      </c>
      <c r="B24" s="29">
        <v>804.56999999999994</v>
      </c>
      <c r="C24" s="30">
        <f>SUM(C4,C6,C8,C10,C12,C14,C16,C18,C20,C22)</f>
        <v>7773747.9000000004</v>
      </c>
      <c r="D24" s="30">
        <f t="shared" ref="D24:J24" si="11">SUM(D4,D6,D8,D10,D12,D14,D16,D18,D20,D22)</f>
        <v>46435674.090000018</v>
      </c>
      <c r="E24" s="30">
        <f t="shared" si="11"/>
        <v>5845626.4700000016</v>
      </c>
      <c r="F24" s="30">
        <f t="shared" si="11"/>
        <v>32721693.030000001</v>
      </c>
      <c r="G24" s="30">
        <f t="shared" si="11"/>
        <v>37104582.900000006</v>
      </c>
      <c r="H24" s="30">
        <f t="shared" si="11"/>
        <v>8618063.129999999</v>
      </c>
      <c r="I24" s="30">
        <f t="shared" si="11"/>
        <v>3623457.5800000005</v>
      </c>
      <c r="J24" s="30">
        <f t="shared" si="11"/>
        <v>3491492.3000000003</v>
      </c>
      <c r="K24" s="30">
        <f>SUM(K4:K23)</f>
        <v>145614347.39999998</v>
      </c>
      <c r="L24" s="32">
        <f>K24/$K$24</f>
        <v>1</v>
      </c>
      <c r="M24" s="71">
        <f>SUM(C24:J24)</f>
        <v>145614337.40000004</v>
      </c>
    </row>
    <row r="25" spans="1:13" x14ac:dyDescent="0.25">
      <c r="A25" s="129" t="s">
        <v>16</v>
      </c>
      <c r="B25" s="33"/>
      <c r="C25" s="34">
        <f>C24/$K$24</f>
        <v>5.3385865052470796E-2</v>
      </c>
      <c r="D25" s="35">
        <f t="shared" ref="D25:K25" si="12">D24/$K$24</f>
        <v>0.3188949091839286</v>
      </c>
      <c r="E25" s="34">
        <f t="shared" si="12"/>
        <v>4.0144577607741989E-2</v>
      </c>
      <c r="F25" s="35">
        <f t="shared" si="12"/>
        <v>0.22471475932322865</v>
      </c>
      <c r="G25" s="34">
        <f t="shared" si="12"/>
        <v>0.25481405893386583</v>
      </c>
      <c r="H25" s="35">
        <f t="shared" si="12"/>
        <v>5.9184162027154749E-2</v>
      </c>
      <c r="I25" s="34">
        <f t="shared" si="12"/>
        <v>2.4883932419423122E-2</v>
      </c>
      <c r="J25" s="35">
        <f t="shared" si="12"/>
        <v>2.3977666777635135E-2</v>
      </c>
      <c r="K25" s="34">
        <f t="shared" si="12"/>
        <v>1</v>
      </c>
      <c r="L25" s="36"/>
    </row>
    <row r="26" spans="1:13" x14ac:dyDescent="0.25">
      <c r="C26" s="3"/>
      <c r="D26" s="3"/>
      <c r="E26" s="3"/>
      <c r="F26" s="3"/>
      <c r="G26" s="3"/>
      <c r="H26" s="3"/>
      <c r="I26" s="3"/>
      <c r="J26" s="3"/>
      <c r="K26" s="3"/>
    </row>
    <row r="27" spans="1:13" ht="29.1" customHeight="1" x14ac:dyDescent="0.25">
      <c r="A27" s="37" t="s">
        <v>1</v>
      </c>
      <c r="B27" s="38"/>
      <c r="C27" s="38" t="s">
        <v>2</v>
      </c>
      <c r="D27" s="38" t="s">
        <v>3</v>
      </c>
      <c r="E27" s="39" t="s">
        <v>4</v>
      </c>
      <c r="F27" s="39" t="s">
        <v>5</v>
      </c>
      <c r="G27" s="39" t="s">
        <v>6</v>
      </c>
      <c r="H27" s="39" t="s">
        <v>7</v>
      </c>
      <c r="I27" s="39" t="s">
        <v>26</v>
      </c>
      <c r="J27" s="39" t="s">
        <v>27</v>
      </c>
      <c r="K27" s="40" t="s">
        <v>10</v>
      </c>
    </row>
    <row r="28" spans="1:13" x14ac:dyDescent="0.25">
      <c r="A28" s="41" t="s">
        <v>12</v>
      </c>
      <c r="B28" s="42" t="s">
        <v>13</v>
      </c>
      <c r="C28" s="43" t="s">
        <v>13</v>
      </c>
      <c r="D28" s="43" t="s">
        <v>13</v>
      </c>
      <c r="E28" s="43" t="s">
        <v>13</v>
      </c>
      <c r="F28" s="43" t="s">
        <v>13</v>
      </c>
      <c r="G28" s="43" t="s">
        <v>13</v>
      </c>
      <c r="H28" s="43" t="s">
        <v>13</v>
      </c>
      <c r="I28" s="43" t="s">
        <v>13</v>
      </c>
      <c r="J28" s="43" t="s">
        <v>13</v>
      </c>
      <c r="K28" s="44" t="s">
        <v>13</v>
      </c>
    </row>
    <row r="29" spans="1:13" x14ac:dyDescent="0.25">
      <c r="A29" s="669" t="s">
        <v>28</v>
      </c>
      <c r="B29" s="45"/>
      <c r="C29" s="45"/>
      <c r="D29" s="45"/>
      <c r="E29" s="45"/>
      <c r="F29" s="45"/>
      <c r="G29" s="45"/>
      <c r="H29" s="45"/>
      <c r="I29" s="45"/>
      <c r="J29" s="45"/>
      <c r="K29" s="46"/>
    </row>
    <row r="30" spans="1:13" x14ac:dyDescent="0.25">
      <c r="A30" s="8" t="s">
        <v>29</v>
      </c>
      <c r="B30" s="4">
        <v>287</v>
      </c>
      <c r="C30" s="6">
        <v>10887.050000000001</v>
      </c>
      <c r="D30" s="6"/>
      <c r="E30" s="6"/>
      <c r="F30" s="6"/>
      <c r="G30" s="6"/>
      <c r="H30" s="6"/>
      <c r="I30" s="6">
        <v>111834.90000000001</v>
      </c>
      <c r="J30" s="6">
        <v>191110.40000000002</v>
      </c>
      <c r="K30" s="53">
        <v>314119.35000000003</v>
      </c>
    </row>
    <row r="31" spans="1:13" x14ac:dyDescent="0.25">
      <c r="A31" s="9" t="s">
        <v>30</v>
      </c>
      <c r="C31" s="7">
        <v>602.70000000000005</v>
      </c>
      <c r="D31" s="7"/>
      <c r="E31" s="7">
        <v>1246.3500000000001</v>
      </c>
      <c r="F31" s="7">
        <v>27119.599999999999</v>
      </c>
      <c r="G31" s="7">
        <v>4290.1000000000004</v>
      </c>
      <c r="H31" s="7">
        <v>4427.8</v>
      </c>
      <c r="I31" s="7">
        <v>108.69999999999999</v>
      </c>
      <c r="J31" s="7">
        <v>13.5</v>
      </c>
      <c r="K31" s="47">
        <v>37808.749999999993</v>
      </c>
    </row>
    <row r="32" spans="1:13" x14ac:dyDescent="0.25">
      <c r="A32" s="8" t="s">
        <v>31</v>
      </c>
      <c r="B32" s="4"/>
      <c r="C32" s="6"/>
      <c r="D32" s="6"/>
      <c r="E32" s="6">
        <v>4.0999999999999996</v>
      </c>
      <c r="F32" s="6">
        <v>271.37</v>
      </c>
      <c r="G32" s="6">
        <v>129.76</v>
      </c>
      <c r="H32" s="6"/>
      <c r="I32" s="6">
        <v>69</v>
      </c>
      <c r="J32" s="6">
        <v>227.98000000000002</v>
      </c>
      <c r="K32" s="53">
        <v>702.21</v>
      </c>
    </row>
    <row r="33" spans="1:12" x14ac:dyDescent="0.25">
      <c r="A33" s="9" t="s">
        <v>32</v>
      </c>
      <c r="B33">
        <v>19.649999999999999</v>
      </c>
      <c r="C33" s="7">
        <v>52754.05000000001</v>
      </c>
      <c r="D33" s="7"/>
      <c r="E33" s="7">
        <v>19026.5</v>
      </c>
      <c r="F33" s="7">
        <v>270412.50999999995</v>
      </c>
      <c r="G33" s="7">
        <v>61381.830000000024</v>
      </c>
      <c r="H33" s="7">
        <v>51415.040000000015</v>
      </c>
      <c r="I33" s="7">
        <v>8795.5999999999985</v>
      </c>
      <c r="J33" s="7">
        <v>10878.170000000002</v>
      </c>
      <c r="K33" s="47">
        <v>474683.34999999992</v>
      </c>
    </row>
    <row r="34" spans="1:12" x14ac:dyDescent="0.25">
      <c r="A34" s="8" t="s">
        <v>33</v>
      </c>
      <c r="B34" s="4"/>
      <c r="C34" s="6"/>
      <c r="D34" s="6"/>
      <c r="E34" s="6"/>
      <c r="F34" s="6"/>
      <c r="G34" s="6"/>
      <c r="H34" s="6"/>
      <c r="I34" s="6"/>
      <c r="J34" s="6">
        <v>-5.29</v>
      </c>
      <c r="K34" s="53">
        <v>-5.29</v>
      </c>
    </row>
    <row r="35" spans="1:12" x14ac:dyDescent="0.25">
      <c r="A35" s="9" t="s">
        <v>34</v>
      </c>
      <c r="C35" s="7">
        <v>5908.7800000000007</v>
      </c>
      <c r="D35" s="7"/>
      <c r="E35" s="7">
        <v>2442.0299999999997</v>
      </c>
      <c r="F35" s="7">
        <v>17459.010000000002</v>
      </c>
      <c r="G35" s="7">
        <v>8972.1200000000008</v>
      </c>
      <c r="H35" s="7">
        <v>517.14</v>
      </c>
      <c r="I35" s="7">
        <v>31648.969999999987</v>
      </c>
      <c r="J35" s="7">
        <v>21297.720000000005</v>
      </c>
      <c r="K35" s="47">
        <v>88245.76999999999</v>
      </c>
    </row>
    <row r="36" spans="1:12" x14ac:dyDescent="0.25">
      <c r="A36" s="8" t="s">
        <v>35</v>
      </c>
      <c r="B36" s="4">
        <v>10.7</v>
      </c>
      <c r="C36" s="6">
        <v>50548.289999999994</v>
      </c>
      <c r="D36" s="6"/>
      <c r="E36" s="6">
        <v>18589.710000000003</v>
      </c>
      <c r="F36" s="6">
        <v>192902.92</v>
      </c>
      <c r="G36" s="6">
        <v>67901.759999999995</v>
      </c>
      <c r="H36" s="6">
        <v>38175.109999999993</v>
      </c>
      <c r="I36" s="6">
        <v>7572.0400000000009</v>
      </c>
      <c r="J36" s="6">
        <v>9478.85</v>
      </c>
      <c r="K36" s="53">
        <v>385179.38</v>
      </c>
    </row>
    <row r="37" spans="1:12" x14ac:dyDescent="0.25">
      <c r="A37" s="48"/>
      <c r="K37" s="1"/>
    </row>
    <row r="38" spans="1:12" s="2" customFormat="1" x14ac:dyDescent="0.25">
      <c r="A38" s="49" t="s">
        <v>10</v>
      </c>
      <c r="B38" s="50"/>
      <c r="C38" s="51">
        <f>SUM(C30:C36)</f>
        <v>120700.87000000001</v>
      </c>
      <c r="D38" s="51">
        <f t="shared" ref="D38:K38" si="13">SUM(D30:D36)</f>
        <v>0</v>
      </c>
      <c r="E38" s="51">
        <f t="shared" si="13"/>
        <v>41308.69</v>
      </c>
      <c r="F38" s="51">
        <f t="shared" si="13"/>
        <v>508165.40999999992</v>
      </c>
      <c r="G38" s="51">
        <f t="shared" si="13"/>
        <v>142675.57</v>
      </c>
      <c r="H38" s="51">
        <f t="shared" si="13"/>
        <v>94535.090000000011</v>
      </c>
      <c r="I38" s="51">
        <f t="shared" si="13"/>
        <v>160029.21</v>
      </c>
      <c r="J38" s="51">
        <f t="shared" si="13"/>
        <v>233001.33000000005</v>
      </c>
      <c r="K38" s="52">
        <f t="shared" si="13"/>
        <v>1300733.52</v>
      </c>
      <c r="L38" s="280"/>
    </row>
    <row r="41" spans="1:12" ht="21" x14ac:dyDescent="0.35">
      <c r="A41" s="716" t="s">
        <v>36</v>
      </c>
      <c r="B41" s="717"/>
      <c r="C41" s="717"/>
      <c r="D41" s="717"/>
      <c r="E41" s="717"/>
      <c r="F41" s="717"/>
      <c r="G41" s="717"/>
      <c r="H41" s="717"/>
      <c r="I41" s="717"/>
      <c r="J41" s="717"/>
      <c r="K41" s="717"/>
      <c r="L41" s="717"/>
    </row>
    <row r="43" spans="1:12" ht="27" x14ac:dyDescent="0.25">
      <c r="A43" s="496" t="s">
        <v>1</v>
      </c>
      <c r="B43" s="497"/>
      <c r="C43" s="498" t="s">
        <v>2</v>
      </c>
      <c r="D43" s="499" t="s">
        <v>3</v>
      </c>
      <c r="E43" s="500" t="s">
        <v>4</v>
      </c>
      <c r="F43" s="501" t="s">
        <v>5</v>
      </c>
      <c r="G43" s="500" t="s">
        <v>6</v>
      </c>
      <c r="H43" s="501" t="s">
        <v>7</v>
      </c>
      <c r="I43" s="500" t="s">
        <v>8</v>
      </c>
      <c r="J43" s="501" t="s">
        <v>9</v>
      </c>
      <c r="K43" s="499" t="s">
        <v>10</v>
      </c>
      <c r="L43" s="502" t="s">
        <v>11</v>
      </c>
    </row>
    <row r="44" spans="1:12" x14ac:dyDescent="0.25">
      <c r="A44" s="503" t="s">
        <v>12</v>
      </c>
      <c r="B44" s="504" t="s">
        <v>13</v>
      </c>
      <c r="C44" s="505" t="s">
        <v>1</v>
      </c>
      <c r="D44" s="506" t="s">
        <v>1</v>
      </c>
      <c r="E44" s="507" t="s">
        <v>1</v>
      </c>
      <c r="F44" s="506" t="s">
        <v>1</v>
      </c>
      <c r="G44" s="507" t="s">
        <v>1</v>
      </c>
      <c r="H44" s="506" t="s">
        <v>1</v>
      </c>
      <c r="I44" s="507" t="s">
        <v>1</v>
      </c>
      <c r="J44" s="506" t="s">
        <v>1</v>
      </c>
      <c r="K44" s="506" t="s">
        <v>1</v>
      </c>
      <c r="L44" s="508" t="s">
        <v>14</v>
      </c>
    </row>
    <row r="46" spans="1:12" x14ac:dyDescent="0.25">
      <c r="A46" s="509" t="s">
        <v>10</v>
      </c>
      <c r="B46" s="510">
        <v>804.56999999999994</v>
      </c>
      <c r="C46" s="511">
        <f>C47*$K$46</f>
        <v>1302400.9993999999</v>
      </c>
      <c r="D46" s="511">
        <f t="shared" ref="D46:J46" si="14">D47*$K$46</f>
        <v>11196557.2828</v>
      </c>
      <c r="E46" s="511">
        <f t="shared" si="14"/>
        <v>1442187.4941</v>
      </c>
      <c r="F46" s="511">
        <f t="shared" si="14"/>
        <v>7817815.4231000002</v>
      </c>
      <c r="G46" s="511">
        <f t="shared" si="14"/>
        <v>8636077.8311000001</v>
      </c>
      <c r="H46" s="511">
        <f t="shared" si="14"/>
        <v>2175214.2345999996</v>
      </c>
      <c r="I46" s="511">
        <f t="shared" si="14"/>
        <v>828490.68809999991</v>
      </c>
      <c r="J46" s="511">
        <f t="shared" si="14"/>
        <v>695523.04680000001</v>
      </c>
      <c r="K46" s="511">
        <v>34094267</v>
      </c>
      <c r="L46" s="512"/>
    </row>
    <row r="47" spans="1:12" x14ac:dyDescent="0.25">
      <c r="A47" s="513" t="s">
        <v>16</v>
      </c>
      <c r="B47" s="514"/>
      <c r="C47" s="515">
        <v>3.8199999999999998E-2</v>
      </c>
      <c r="D47" s="516">
        <v>0.32840000000000003</v>
      </c>
      <c r="E47" s="515">
        <v>4.2299999999999997E-2</v>
      </c>
      <c r="F47" s="516">
        <v>0.2293</v>
      </c>
      <c r="G47" s="515">
        <v>0.25330000000000003</v>
      </c>
      <c r="H47" s="516">
        <v>6.3799999999999996E-2</v>
      </c>
      <c r="I47" s="515">
        <v>2.4299999999999999E-2</v>
      </c>
      <c r="J47" s="516">
        <v>2.0400000000000001E-2</v>
      </c>
      <c r="K47" s="515">
        <f>SUM(C47:J47)</f>
        <v>1.0000000000000002</v>
      </c>
      <c r="L47" s="517"/>
    </row>
    <row r="48" spans="1:12" x14ac:dyDescent="0.25">
      <c r="D48" s="276"/>
    </row>
    <row r="50" spans="1:17" ht="21" x14ac:dyDescent="0.35">
      <c r="A50" s="716" t="s">
        <v>37</v>
      </c>
      <c r="B50" s="717"/>
      <c r="C50" s="717"/>
      <c r="D50" s="717"/>
      <c r="E50" s="717"/>
      <c r="F50" s="717"/>
      <c r="G50" s="717"/>
      <c r="H50" s="717"/>
      <c r="I50" s="717"/>
      <c r="J50" s="717"/>
      <c r="K50" s="717"/>
      <c r="L50" s="717"/>
    </row>
    <row r="52" spans="1:17" ht="21" x14ac:dyDescent="0.25">
      <c r="A52" s="562" t="s">
        <v>1</v>
      </c>
      <c r="B52" s="563"/>
      <c r="C52" s="564" t="s">
        <v>2</v>
      </c>
      <c r="D52" s="565" t="s">
        <v>3</v>
      </c>
      <c r="E52" s="566" t="s">
        <v>38</v>
      </c>
      <c r="F52" s="567" t="s">
        <v>39</v>
      </c>
      <c r="G52" s="566" t="s">
        <v>40</v>
      </c>
      <c r="H52" s="567" t="s">
        <v>41</v>
      </c>
      <c r="I52" s="566"/>
      <c r="J52" s="567"/>
      <c r="K52" s="565" t="s">
        <v>10</v>
      </c>
      <c r="L52" s="568" t="s">
        <v>11</v>
      </c>
    </row>
    <row r="53" spans="1:17" x14ac:dyDescent="0.25">
      <c r="A53" s="569" t="s">
        <v>12</v>
      </c>
      <c r="B53" s="570" t="s">
        <v>13</v>
      </c>
      <c r="C53" s="571" t="s">
        <v>1</v>
      </c>
      <c r="D53" s="572" t="s">
        <v>1</v>
      </c>
      <c r="E53" s="573" t="s">
        <v>1</v>
      </c>
      <c r="F53" s="572" t="s">
        <v>1</v>
      </c>
      <c r="G53" s="573" t="s">
        <v>1</v>
      </c>
      <c r="H53" s="572" t="s">
        <v>1</v>
      </c>
      <c r="I53" s="573"/>
      <c r="J53" s="572"/>
      <c r="K53" s="572" t="s">
        <v>1</v>
      </c>
      <c r="L53" s="574" t="s">
        <v>14</v>
      </c>
    </row>
    <row r="54" spans="1:17" x14ac:dyDescent="0.25">
      <c r="A54" s="575"/>
      <c r="B54" s="575"/>
      <c r="C54" s="575"/>
      <c r="D54" s="575"/>
      <c r="E54" s="575"/>
      <c r="F54" s="575"/>
      <c r="G54" s="575"/>
      <c r="H54" s="575"/>
      <c r="I54" s="575"/>
      <c r="J54" s="575"/>
      <c r="K54" s="575"/>
      <c r="L54" s="575"/>
    </row>
    <row r="55" spans="1:17" x14ac:dyDescent="0.25">
      <c r="A55" s="576" t="s">
        <v>10</v>
      </c>
      <c r="B55" s="577">
        <v>804.56999999999994</v>
      </c>
      <c r="C55" s="578">
        <f>C56*$K$55</f>
        <v>557132.03</v>
      </c>
      <c r="D55" s="578">
        <f t="shared" ref="D55:H55" si="15">D56*$K$55</f>
        <v>13052807.560000001</v>
      </c>
      <c r="E55" s="578">
        <f t="shared" si="15"/>
        <v>7163126.0999999996</v>
      </c>
      <c r="F55" s="578">
        <f t="shared" si="15"/>
        <v>7083535.8099999996</v>
      </c>
      <c r="G55" s="578">
        <f t="shared" si="15"/>
        <v>5969271.75</v>
      </c>
      <c r="H55" s="578">
        <f t="shared" si="15"/>
        <v>5969271.75</v>
      </c>
      <c r="I55" s="578"/>
      <c r="J55" s="578"/>
      <c r="K55" s="578">
        <v>39795145</v>
      </c>
      <c r="L55" s="661">
        <f>SUM(C55:H55)</f>
        <v>39795145</v>
      </c>
    </row>
    <row r="56" spans="1:17" x14ac:dyDescent="0.25">
      <c r="A56" s="580" t="s">
        <v>16</v>
      </c>
      <c r="B56" s="581"/>
      <c r="C56" s="582">
        <v>1.4E-2</v>
      </c>
      <c r="D56" s="583">
        <v>0.32800000000000001</v>
      </c>
      <c r="E56" s="582">
        <v>0.18</v>
      </c>
      <c r="F56" s="583">
        <v>0.17799999999999999</v>
      </c>
      <c r="G56" s="582">
        <v>0.15</v>
      </c>
      <c r="H56" s="583">
        <v>0.15</v>
      </c>
      <c r="I56" s="582"/>
      <c r="J56" s="583"/>
      <c r="K56" s="582">
        <f>SUM(C56:J56)</f>
        <v>1</v>
      </c>
      <c r="L56" s="584"/>
    </row>
    <row r="57" spans="1:17" x14ac:dyDescent="0.25">
      <c r="Q57">
        <v>39</v>
      </c>
    </row>
    <row r="59" spans="1:17" ht="21" x14ac:dyDescent="0.35">
      <c r="A59" s="716" t="s">
        <v>0</v>
      </c>
      <c r="B59" s="717"/>
      <c r="C59" s="717"/>
      <c r="D59" s="717"/>
      <c r="E59" s="717"/>
      <c r="F59" s="717"/>
      <c r="G59" s="717"/>
      <c r="H59" s="717"/>
      <c r="I59" s="717"/>
      <c r="J59" s="717"/>
      <c r="K59" s="717"/>
      <c r="L59" s="717"/>
    </row>
    <row r="60" spans="1:17" ht="27" x14ac:dyDescent="0.25">
      <c r="A60" s="93" t="s">
        <v>1</v>
      </c>
      <c r="B60" s="16"/>
      <c r="C60" s="19" t="s">
        <v>2</v>
      </c>
      <c r="D60" s="23" t="s">
        <v>3</v>
      </c>
      <c r="E60" s="25" t="s">
        <v>4</v>
      </c>
      <c r="F60" s="27" t="s">
        <v>5</v>
      </c>
      <c r="G60" s="25" t="s">
        <v>6</v>
      </c>
      <c r="H60" s="27" t="s">
        <v>7</v>
      </c>
      <c r="I60" s="25" t="s">
        <v>8</v>
      </c>
      <c r="J60" s="27" t="s">
        <v>9</v>
      </c>
      <c r="K60" s="23" t="s">
        <v>10</v>
      </c>
      <c r="L60" s="21" t="s">
        <v>11</v>
      </c>
    </row>
    <row r="61" spans="1:17" x14ac:dyDescent="0.25">
      <c r="A61" s="18" t="s">
        <v>12</v>
      </c>
      <c r="B61" s="17" t="s">
        <v>13</v>
      </c>
      <c r="C61" s="20" t="s">
        <v>1</v>
      </c>
      <c r="D61" s="24" t="s">
        <v>1</v>
      </c>
      <c r="E61" s="26" t="s">
        <v>1</v>
      </c>
      <c r="F61" s="24" t="s">
        <v>1</v>
      </c>
      <c r="G61" s="26" t="s">
        <v>1</v>
      </c>
      <c r="H61" s="24" t="s">
        <v>1</v>
      </c>
      <c r="I61" s="26" t="s">
        <v>1</v>
      </c>
      <c r="J61" s="24" t="s">
        <v>1</v>
      </c>
      <c r="K61" s="24" t="s">
        <v>1</v>
      </c>
      <c r="L61" s="22" t="s">
        <v>14</v>
      </c>
    </row>
    <row r="62" spans="1:17" x14ac:dyDescent="0.25">
      <c r="A62" s="663" t="s">
        <v>15</v>
      </c>
      <c r="B62" s="4">
        <v>461.55999999999995</v>
      </c>
      <c r="C62" s="11">
        <v>3513336.72</v>
      </c>
      <c r="D62" s="6">
        <v>22346622.780000009</v>
      </c>
      <c r="E62" s="11">
        <v>2616131.8100000015</v>
      </c>
      <c r="F62" s="6">
        <v>15284097.470000001</v>
      </c>
      <c r="G62" s="11">
        <v>16780190.190000013</v>
      </c>
      <c r="H62" s="6">
        <v>3679803.4800000009</v>
      </c>
      <c r="I62" s="11">
        <v>1832306.2899999998</v>
      </c>
      <c r="J62" s="6">
        <v>1795722.3000000005</v>
      </c>
      <c r="K62" s="15">
        <f>SUM(C62:J62)</f>
        <v>67848211.040000021</v>
      </c>
      <c r="L62" s="664">
        <f>K62/$K$24</f>
        <v>0.46594454634076832</v>
      </c>
    </row>
    <row r="63" spans="1:17" x14ac:dyDescent="0.25">
      <c r="A63" s="665" t="s">
        <v>16</v>
      </c>
      <c r="C63" s="12">
        <f>C62/$K$4</f>
        <v>5.1782304443203475E-2</v>
      </c>
      <c r="D63" s="5">
        <f t="shared" ref="D63:J63" si="16">D62/$K$4</f>
        <v>0.32936200435447771</v>
      </c>
      <c r="E63" s="12">
        <f t="shared" si="16"/>
        <v>3.8558596754417841E-2</v>
      </c>
      <c r="F63" s="5">
        <f t="shared" si="16"/>
        <v>0.22526898256741415</v>
      </c>
      <c r="G63" s="12">
        <f t="shared" si="16"/>
        <v>0.24731956720431766</v>
      </c>
      <c r="H63" s="5">
        <f t="shared" si="16"/>
        <v>5.4235821749678365E-2</v>
      </c>
      <c r="I63" s="12">
        <f t="shared" si="16"/>
        <v>2.700596319215787E-2</v>
      </c>
      <c r="J63" s="5">
        <f t="shared" si="16"/>
        <v>2.6466759734333004E-2</v>
      </c>
      <c r="K63" s="12">
        <f>K62/$K$4</f>
        <v>1</v>
      </c>
      <c r="L63" s="666"/>
    </row>
    <row r="64" spans="1:17" x14ac:dyDescent="0.25">
      <c r="A64" s="667" t="s">
        <v>17</v>
      </c>
      <c r="B64" s="4"/>
      <c r="C64" s="13">
        <v>28971.789999999994</v>
      </c>
      <c r="D64" s="6">
        <v>992912.44000000029</v>
      </c>
      <c r="E64" s="13">
        <v>99801.569999999992</v>
      </c>
      <c r="F64" s="6">
        <v>577670.54000000015</v>
      </c>
      <c r="G64" s="13">
        <v>345338.64000000013</v>
      </c>
      <c r="H64" s="6">
        <v>128398</v>
      </c>
      <c r="I64" s="13">
        <v>8759.07</v>
      </c>
      <c r="J64" s="6">
        <v>15389.529999999999</v>
      </c>
      <c r="K64" s="15">
        <f>SUM(C64:J64)</f>
        <v>2197241.58</v>
      </c>
      <c r="L64" s="668">
        <f>K64/$K$24</f>
        <v>1.5089458004877893E-2</v>
      </c>
    </row>
    <row r="65" spans="1:12" x14ac:dyDescent="0.25">
      <c r="A65" s="665" t="s">
        <v>16</v>
      </c>
      <c r="C65" s="12">
        <f>C64/$K$6</f>
        <v>1.3185527828942684E-2</v>
      </c>
      <c r="D65" s="5">
        <f t="shared" ref="D65:K65" si="17">D64/$K$6</f>
        <v>0.45189042890768538</v>
      </c>
      <c r="E65" s="12">
        <f t="shared" si="17"/>
        <v>4.5421300465286113E-2</v>
      </c>
      <c r="F65" s="5">
        <f t="shared" si="17"/>
        <v>0.26290715834714912</v>
      </c>
      <c r="G65" s="12">
        <f t="shared" si="17"/>
        <v>0.15716917208530165</v>
      </c>
      <c r="H65" s="5">
        <f t="shared" si="17"/>
        <v>5.8435995918118384E-2</v>
      </c>
      <c r="I65" s="12">
        <f t="shared" si="17"/>
        <v>3.9863937036909705E-3</v>
      </c>
      <c r="J65" s="5">
        <f t="shared" si="17"/>
        <v>7.0040227438259196E-3</v>
      </c>
      <c r="K65" s="12">
        <f t="shared" si="17"/>
        <v>1</v>
      </c>
      <c r="L65" s="666"/>
    </row>
    <row r="66" spans="1:12" x14ac:dyDescent="0.25">
      <c r="A66" s="667" t="s">
        <v>18</v>
      </c>
      <c r="B66" s="4">
        <v>33.090000000000003</v>
      </c>
      <c r="C66" s="13">
        <v>3451836.4899999993</v>
      </c>
      <c r="D66" s="6">
        <v>14232255.489999998</v>
      </c>
      <c r="E66" s="13">
        <v>2063144.4300000002</v>
      </c>
      <c r="F66" s="6">
        <v>10380845.669999996</v>
      </c>
      <c r="G66" s="13">
        <v>14191344.989999996</v>
      </c>
      <c r="H66" s="6">
        <v>3283670.7599999988</v>
      </c>
      <c r="I66" s="13">
        <v>1251747</v>
      </c>
      <c r="J66" s="6">
        <v>1056702.6200000001</v>
      </c>
      <c r="K66" s="15">
        <f>SUM(C66:J66)</f>
        <v>49911547.449999981</v>
      </c>
      <c r="L66" s="668">
        <f>K66/$K$24</f>
        <v>0.34276531359161927</v>
      </c>
    </row>
    <row r="67" spans="1:12" x14ac:dyDescent="0.25">
      <c r="A67" s="665" t="s">
        <v>16</v>
      </c>
      <c r="C67" s="12">
        <f>C66/$K$8</f>
        <v>6.9159075732082936E-2</v>
      </c>
      <c r="D67" s="5">
        <f t="shared" ref="D67:K67" si="18">D66/$K$8</f>
        <v>0.28514955390348257</v>
      </c>
      <c r="E67" s="12">
        <f t="shared" si="18"/>
        <v>4.1336014117109909E-2</v>
      </c>
      <c r="F67" s="5">
        <f t="shared" si="18"/>
        <v>0.20798484920547181</v>
      </c>
      <c r="G67" s="12">
        <f t="shared" si="18"/>
        <v>0.28432989388310381</v>
      </c>
      <c r="H67" s="5">
        <f t="shared" si="18"/>
        <v>6.5789800712740681E-2</v>
      </c>
      <c r="I67" s="12">
        <f t="shared" si="18"/>
        <v>2.507930657237117E-2</v>
      </c>
      <c r="J67" s="5">
        <f t="shared" si="18"/>
        <v>2.1171505873637274E-2</v>
      </c>
      <c r="K67" s="12">
        <f t="shared" si="18"/>
        <v>1</v>
      </c>
      <c r="L67" s="666"/>
    </row>
    <row r="68" spans="1:12" x14ac:dyDescent="0.25">
      <c r="A68" s="667" t="s">
        <v>19</v>
      </c>
      <c r="B68" s="4">
        <v>4.05</v>
      </c>
      <c r="C68" s="13">
        <v>204984.90000000002</v>
      </c>
      <c r="D68" s="6">
        <v>2129764.1300000013</v>
      </c>
      <c r="E68" s="13">
        <v>270174.44999999995</v>
      </c>
      <c r="F68" s="6">
        <v>1703842.1900000004</v>
      </c>
      <c r="G68" s="13">
        <v>1710872.9400000004</v>
      </c>
      <c r="H68" s="6">
        <v>351036.35000000009</v>
      </c>
      <c r="I68" s="13">
        <v>143753.76000000015</v>
      </c>
      <c r="J68" s="6">
        <v>145986.39999999991</v>
      </c>
      <c r="K68" s="15">
        <f>SUM(C68:J68)</f>
        <v>6660415.1200000029</v>
      </c>
      <c r="L68" s="668">
        <f>K68/$K$24</f>
        <v>4.5740102118536186E-2</v>
      </c>
    </row>
    <row r="69" spans="1:12" x14ac:dyDescent="0.25">
      <c r="A69" s="665" t="s">
        <v>16</v>
      </c>
      <c r="C69" s="12">
        <f>C68/$K$10</f>
        <v>3.0776595198168361E-2</v>
      </c>
      <c r="D69" s="5">
        <f t="shared" ref="D69:K69" si="19">D68/$K$10</f>
        <v>0.31976447287868154</v>
      </c>
      <c r="E69" s="12">
        <f t="shared" si="19"/>
        <v>4.0564205853883747E-2</v>
      </c>
      <c r="F69" s="5">
        <f t="shared" si="19"/>
        <v>0.25581621555144146</v>
      </c>
      <c r="G69" s="12">
        <f t="shared" si="19"/>
        <v>0.25687181792356506</v>
      </c>
      <c r="H69" s="5">
        <f t="shared" si="19"/>
        <v>5.2704875548357705E-2</v>
      </c>
      <c r="I69" s="12">
        <f t="shared" si="19"/>
        <v>2.1583303354220974E-2</v>
      </c>
      <c r="J69" s="5">
        <f t="shared" si="19"/>
        <v>2.1918513691681105E-2</v>
      </c>
      <c r="K69" s="12">
        <f t="shared" si="19"/>
        <v>1</v>
      </c>
      <c r="L69" s="666"/>
    </row>
    <row r="70" spans="1:12" x14ac:dyDescent="0.25">
      <c r="A70" s="667" t="s">
        <v>20</v>
      </c>
      <c r="B70" s="4"/>
      <c r="C70" s="13">
        <v>10150.43</v>
      </c>
      <c r="D70" s="6">
        <v>163384.25000000003</v>
      </c>
      <c r="E70" s="13">
        <v>22548.799999999996</v>
      </c>
      <c r="F70" s="6">
        <v>79880.649999999994</v>
      </c>
      <c r="G70" s="13">
        <v>124934.34000000003</v>
      </c>
      <c r="H70" s="6">
        <v>24332.050000000003</v>
      </c>
      <c r="I70" s="13">
        <v>2978.54</v>
      </c>
      <c r="J70" s="6">
        <v>3211.2799999999997</v>
      </c>
      <c r="K70" s="15">
        <f>SUM(C70:J70)</f>
        <v>431420.34</v>
      </c>
      <c r="L70" s="668">
        <f>K70/$K$24</f>
        <v>2.9627598358484288E-3</v>
      </c>
    </row>
    <row r="71" spans="1:12" x14ac:dyDescent="0.25">
      <c r="A71" s="665" t="s">
        <v>16</v>
      </c>
      <c r="C71" s="12">
        <f>C70/$K$12</f>
        <v>2.3527935655514063E-2</v>
      </c>
      <c r="D71" s="5">
        <f t="shared" ref="D71:K71" si="20">D70/$K$12</f>
        <v>0.37871244086451744</v>
      </c>
      <c r="E71" s="12">
        <f t="shared" si="20"/>
        <v>5.2266427679325447E-2</v>
      </c>
      <c r="F71" s="5">
        <f t="shared" si="20"/>
        <v>0.18515735720759013</v>
      </c>
      <c r="G71" s="12">
        <f t="shared" si="20"/>
        <v>0.28958843247863564</v>
      </c>
      <c r="H71" s="5">
        <f t="shared" si="20"/>
        <v>5.6399867470319089E-2</v>
      </c>
      <c r="I71" s="12">
        <f t="shared" si="20"/>
        <v>6.9040323875318435E-3</v>
      </c>
      <c r="J71" s="5">
        <f t="shared" si="20"/>
        <v>7.4435062565663904E-3</v>
      </c>
      <c r="K71" s="12">
        <f t="shared" si="20"/>
        <v>1</v>
      </c>
      <c r="L71" s="666"/>
    </row>
    <row r="72" spans="1:12" x14ac:dyDescent="0.25">
      <c r="A72" s="667" t="s">
        <v>21</v>
      </c>
      <c r="B72" s="4"/>
      <c r="C72" s="13">
        <v>158854.65000000002</v>
      </c>
      <c r="D72" s="6">
        <v>2604721.9599999995</v>
      </c>
      <c r="E72" s="13">
        <v>270902.85000000003</v>
      </c>
      <c r="F72" s="6">
        <v>1362981.5900000005</v>
      </c>
      <c r="G72" s="13">
        <v>1382177.67</v>
      </c>
      <c r="H72" s="6">
        <v>368459.10000000033</v>
      </c>
      <c r="I72" s="13">
        <v>72423.789999999994</v>
      </c>
      <c r="J72" s="6">
        <v>80688.459999999977</v>
      </c>
      <c r="K72" s="15">
        <f>SUM(C72:J72)</f>
        <v>6301210.0700000003</v>
      </c>
      <c r="L72" s="668">
        <f>K72/$K$24</f>
        <v>4.3273277547923837E-2</v>
      </c>
    </row>
    <row r="73" spans="1:12" x14ac:dyDescent="0.25">
      <c r="A73" s="665" t="s">
        <v>16</v>
      </c>
      <c r="C73" s="12">
        <f>C72/$K$14</f>
        <v>2.5210181573902046E-2</v>
      </c>
      <c r="D73" s="5">
        <f t="shared" ref="D73:K73" si="21">D72/$K$14</f>
        <v>0.41336853256187339</v>
      </c>
      <c r="E73" s="12">
        <f t="shared" si="21"/>
        <v>4.299219467222111E-2</v>
      </c>
      <c r="F73" s="5">
        <f t="shared" si="21"/>
        <v>0.21630473748036788</v>
      </c>
      <c r="G73" s="12">
        <f t="shared" si="21"/>
        <v>0.21935114916744869</v>
      </c>
      <c r="H73" s="5">
        <f t="shared" si="21"/>
        <v>5.847433999292144E-2</v>
      </c>
      <c r="I73" s="12">
        <f t="shared" si="21"/>
        <v>1.1493632047725079E-2</v>
      </c>
      <c r="J73" s="5">
        <f t="shared" si="21"/>
        <v>1.2805232503540383E-2</v>
      </c>
      <c r="K73" s="12">
        <f t="shared" si="21"/>
        <v>1</v>
      </c>
      <c r="L73" s="666"/>
    </row>
    <row r="74" spans="1:12" x14ac:dyDescent="0.25">
      <c r="A74" s="667" t="s">
        <v>22</v>
      </c>
      <c r="B74" s="4"/>
      <c r="C74" s="13">
        <v>74247.37999999999</v>
      </c>
      <c r="D74" s="6">
        <v>740799.37999999989</v>
      </c>
      <c r="E74" s="13">
        <v>84684.25999999998</v>
      </c>
      <c r="F74" s="6">
        <v>442880.75</v>
      </c>
      <c r="G74" s="13">
        <v>535515.33999999973</v>
      </c>
      <c r="H74" s="6">
        <v>126869.26000000002</v>
      </c>
      <c r="I74" s="13">
        <v>39136.29</v>
      </c>
      <c r="J74" s="6">
        <v>42223.59</v>
      </c>
      <c r="K74" s="15">
        <f>SUM(C74:J74)</f>
        <v>2086356.25</v>
      </c>
      <c r="L74" s="668">
        <f>K74/$K$24</f>
        <v>1.4327957974284067E-2</v>
      </c>
    </row>
    <row r="75" spans="1:12" x14ac:dyDescent="0.25">
      <c r="A75" s="665" t="s">
        <v>16</v>
      </c>
      <c r="C75" s="12">
        <f>C74/$K$16</f>
        <v>3.5587105509905126E-2</v>
      </c>
      <c r="D75" s="5">
        <f t="shared" ref="D75:K75" si="22">D74/$K$16</f>
        <v>0.35506849800938833</v>
      </c>
      <c r="E75" s="12">
        <f t="shared" si="22"/>
        <v>4.0589549363873011E-2</v>
      </c>
      <c r="F75" s="5">
        <f t="shared" si="22"/>
        <v>0.21227474933870955</v>
      </c>
      <c r="G75" s="12">
        <f t="shared" si="22"/>
        <v>0.25667492787964652</v>
      </c>
      <c r="H75" s="5">
        <f t="shared" si="22"/>
        <v>6.0809010925147622E-2</v>
      </c>
      <c r="I75" s="12">
        <f t="shared" si="22"/>
        <v>1.8758201050276049E-2</v>
      </c>
      <c r="J75" s="5">
        <f t="shared" si="22"/>
        <v>2.0237957923053648E-2</v>
      </c>
      <c r="K75" s="12">
        <f t="shared" si="22"/>
        <v>1</v>
      </c>
      <c r="L75" s="666"/>
    </row>
    <row r="76" spans="1:12" x14ac:dyDescent="0.25">
      <c r="A76" s="667" t="s">
        <v>23</v>
      </c>
      <c r="B76" s="4">
        <v>-11.480000000000004</v>
      </c>
      <c r="C76" s="13">
        <v>206020.00000000009</v>
      </c>
      <c r="D76" s="6">
        <v>3049936.5900000003</v>
      </c>
      <c r="E76" s="13">
        <v>358214.68000000028</v>
      </c>
      <c r="F76" s="6">
        <v>2294382.3500000015</v>
      </c>
      <c r="G76" s="13">
        <v>1813340.4600000007</v>
      </c>
      <c r="H76" s="6">
        <v>538449.53000000014</v>
      </c>
      <c r="I76" s="13">
        <v>111256.40999999999</v>
      </c>
      <c r="J76" s="6">
        <v>118027.94000000002</v>
      </c>
      <c r="K76" s="15">
        <f>SUM(C76:J76)</f>
        <v>8489627.9600000028</v>
      </c>
      <c r="L76" s="668">
        <f>K76/$K$24</f>
        <v>5.8302139257467182E-2</v>
      </c>
    </row>
    <row r="77" spans="1:12" x14ac:dyDescent="0.25">
      <c r="A77" s="665" t="s">
        <v>16</v>
      </c>
      <c r="C77" s="12">
        <f>C76/$K$18</f>
        <v>2.4267258938871099E-2</v>
      </c>
      <c r="D77" s="5">
        <f t="shared" ref="D77:K77" si="23">D76/$K$18</f>
        <v>0.35925444605702123</v>
      </c>
      <c r="E77" s="12">
        <f t="shared" si="23"/>
        <v>4.2194390812857266E-2</v>
      </c>
      <c r="F77" s="5">
        <f t="shared" si="23"/>
        <v>0.27025711383470341</v>
      </c>
      <c r="G77" s="12">
        <f t="shared" si="23"/>
        <v>0.21359480869406675</v>
      </c>
      <c r="H77" s="5">
        <f t="shared" si="23"/>
        <v>6.3424396515015247E-2</v>
      </c>
      <c r="I77" s="12">
        <f t="shared" si="23"/>
        <v>1.3104980633332718E-2</v>
      </c>
      <c r="J77" s="5">
        <f t="shared" si="23"/>
        <v>1.3902604514132322E-2</v>
      </c>
      <c r="K77" s="12">
        <f t="shared" si="23"/>
        <v>1</v>
      </c>
      <c r="L77" s="666"/>
    </row>
    <row r="78" spans="1:12" x14ac:dyDescent="0.25">
      <c r="A78" s="667" t="s">
        <v>24</v>
      </c>
      <c r="B78" s="4"/>
      <c r="C78" s="13">
        <v>4644.67</v>
      </c>
      <c r="D78" s="6">
        <v>175277.07000000004</v>
      </c>
      <c r="E78" s="13">
        <v>18714.93</v>
      </c>
      <c r="F78" s="6">
        <v>86946.41</v>
      </c>
      <c r="G78" s="13">
        <v>78192.75999999998</v>
      </c>
      <c r="H78" s="6">
        <v>22509.51</v>
      </c>
      <c r="I78" s="13">
        <v>1067.22</v>
      </c>
      <c r="J78" s="6">
        <v>538.85</v>
      </c>
      <c r="K78" s="15">
        <f>SUM(C78:J78)</f>
        <v>387891.42000000004</v>
      </c>
      <c r="L78" s="668">
        <f>K78/$K$24</f>
        <v>2.6638269300103328E-3</v>
      </c>
    </row>
    <row r="79" spans="1:12" x14ac:dyDescent="0.25">
      <c r="A79" s="665" t="s">
        <v>16</v>
      </c>
      <c r="C79" s="12">
        <f>C78/$K$20</f>
        <v>1.1974149879365724E-2</v>
      </c>
      <c r="D79" s="5">
        <f t="shared" ref="D79:K79" si="24">D78/$K$20</f>
        <v>0.45187147991053789</v>
      </c>
      <c r="E79" s="12">
        <f t="shared" si="24"/>
        <v>4.8247857609224766E-2</v>
      </c>
      <c r="F79" s="5">
        <f t="shared" si="24"/>
        <v>0.22415141330014465</v>
      </c>
      <c r="G79" s="12">
        <f t="shared" si="24"/>
        <v>0.20158414434637398</v>
      </c>
      <c r="H79" s="5">
        <f t="shared" si="24"/>
        <v>5.8030440580510899E-2</v>
      </c>
      <c r="I79" s="12">
        <f t="shared" si="24"/>
        <v>2.7513369591933741E-3</v>
      </c>
      <c r="J79" s="5">
        <f t="shared" si="24"/>
        <v>1.3891774146486662E-3</v>
      </c>
      <c r="K79" s="12">
        <f t="shared" si="24"/>
        <v>1</v>
      </c>
      <c r="L79" s="666"/>
    </row>
    <row r="80" spans="1:12" x14ac:dyDescent="0.25">
      <c r="A80" s="667" t="s">
        <v>25</v>
      </c>
      <c r="B80" s="4"/>
      <c r="C80" s="14">
        <f>C96</f>
        <v>120700.87000000001</v>
      </c>
      <c r="D80" s="10">
        <f t="shared" ref="D80:J80" si="25">D96</f>
        <v>0</v>
      </c>
      <c r="E80" s="14">
        <f t="shared" si="25"/>
        <v>41308.69</v>
      </c>
      <c r="F80" s="10">
        <f t="shared" si="25"/>
        <v>508165.40999999992</v>
      </c>
      <c r="G80" s="14">
        <f t="shared" si="25"/>
        <v>142675.57</v>
      </c>
      <c r="H80" s="10">
        <f t="shared" si="25"/>
        <v>94535.090000000011</v>
      </c>
      <c r="I80" s="14">
        <f t="shared" si="25"/>
        <v>160029.21</v>
      </c>
      <c r="J80" s="10">
        <f t="shared" si="25"/>
        <v>233001.33000000005</v>
      </c>
      <c r="K80" s="15">
        <f>SUM(C80:J80)</f>
        <v>1300416.1700000002</v>
      </c>
      <c r="L80" s="668">
        <f>K80/$K$24</f>
        <v>8.9305497241132462E-3</v>
      </c>
    </row>
    <row r="81" spans="1:12" x14ac:dyDescent="0.25">
      <c r="A81" s="665" t="s">
        <v>16</v>
      </c>
      <c r="C81" s="12">
        <f>C80/$K$22</f>
        <v>9.2817109464272504E-2</v>
      </c>
      <c r="D81" s="5">
        <f t="shared" ref="D81:K81" si="26">D80/$K$22</f>
        <v>0</v>
      </c>
      <c r="E81" s="12">
        <f t="shared" si="26"/>
        <v>3.1765746191851796E-2</v>
      </c>
      <c r="F81" s="5">
        <f t="shared" si="26"/>
        <v>0.39077137129108436</v>
      </c>
      <c r="G81" s="12">
        <f t="shared" si="26"/>
        <v>0.10971531521328283</v>
      </c>
      <c r="H81" s="5">
        <f t="shared" si="26"/>
        <v>7.2696027764711665E-2</v>
      </c>
      <c r="I81" s="12">
        <f t="shared" si="26"/>
        <v>0.12305999701618596</v>
      </c>
      <c r="J81" s="5">
        <f t="shared" si="26"/>
        <v>0.17917443305861078</v>
      </c>
      <c r="K81" s="12">
        <f t="shared" si="26"/>
        <v>1</v>
      </c>
      <c r="L81" s="666"/>
    </row>
    <row r="82" spans="1:12" x14ac:dyDescent="0.25">
      <c r="A82" s="28" t="s">
        <v>10</v>
      </c>
      <c r="B82" s="29">
        <v>804.56999999999994</v>
      </c>
      <c r="C82" s="30">
        <f>SUM(C62,C64,C66,C68,C70,C72,C74,C76,C78,C80)</f>
        <v>7773747.9000000004</v>
      </c>
      <c r="D82" s="30">
        <f t="shared" ref="D82:J82" si="27">SUM(D62,D64,D66,D68,D70,D72,D74,D76,D78,D80)</f>
        <v>46435674.090000018</v>
      </c>
      <c r="E82" s="30">
        <f t="shared" si="27"/>
        <v>5845626.4700000016</v>
      </c>
      <c r="F82" s="30">
        <f t="shared" si="27"/>
        <v>32721693.030000001</v>
      </c>
      <c r="G82" s="30">
        <f t="shared" si="27"/>
        <v>37104582.900000006</v>
      </c>
      <c r="H82" s="30">
        <f t="shared" si="27"/>
        <v>8618063.129999999</v>
      </c>
      <c r="I82" s="30">
        <f t="shared" si="27"/>
        <v>3623457.5800000005</v>
      </c>
      <c r="J82" s="30">
        <f t="shared" si="27"/>
        <v>3491492.3000000003</v>
      </c>
      <c r="K82" s="30">
        <f>SUM(K62:K81)</f>
        <v>145614347.39999998</v>
      </c>
      <c r="L82" s="32">
        <f>K82/$K$24</f>
        <v>1</v>
      </c>
    </row>
    <row r="83" spans="1:12" x14ac:dyDescent="0.25">
      <c r="A83" s="129" t="s">
        <v>16</v>
      </c>
      <c r="B83" s="33"/>
      <c r="C83" s="34">
        <f>C82/$K$24</f>
        <v>5.3385865052470796E-2</v>
      </c>
      <c r="D83" s="35">
        <f t="shared" ref="D83:K83" si="28">D82/$K$24</f>
        <v>0.3188949091839286</v>
      </c>
      <c r="E83" s="34">
        <f t="shared" si="28"/>
        <v>4.0144577607741989E-2</v>
      </c>
      <c r="F83" s="35">
        <f t="shared" si="28"/>
        <v>0.22471475932322865</v>
      </c>
      <c r="G83" s="34">
        <f t="shared" si="28"/>
        <v>0.25481405893386583</v>
      </c>
      <c r="H83" s="35">
        <f t="shared" si="28"/>
        <v>5.9184162027154749E-2</v>
      </c>
      <c r="I83" s="34">
        <f t="shared" si="28"/>
        <v>2.4883932419423122E-2</v>
      </c>
      <c r="J83" s="35">
        <f t="shared" si="28"/>
        <v>2.3977666777635135E-2</v>
      </c>
      <c r="K83" s="34">
        <f t="shared" si="28"/>
        <v>1</v>
      </c>
      <c r="L83" s="36"/>
    </row>
    <row r="84" spans="1:12" x14ac:dyDescent="0.25">
      <c r="C84" s="3"/>
      <c r="D84" s="3"/>
      <c r="E84" s="3"/>
      <c r="F84" s="3"/>
      <c r="G84" s="3"/>
      <c r="H84" s="3"/>
      <c r="I84" s="3"/>
      <c r="J84" s="3"/>
      <c r="K84" s="3"/>
    </row>
    <row r="85" spans="1:12" ht="40.5" x14ac:dyDescent="0.25">
      <c r="A85" s="37" t="s">
        <v>1</v>
      </c>
      <c r="B85" s="38"/>
      <c r="C85" s="38" t="s">
        <v>2</v>
      </c>
      <c r="D85" s="38" t="s">
        <v>3</v>
      </c>
      <c r="E85" s="39" t="s">
        <v>4</v>
      </c>
      <c r="F85" s="39" t="s">
        <v>5</v>
      </c>
      <c r="G85" s="39" t="s">
        <v>6</v>
      </c>
      <c r="H85" s="39" t="s">
        <v>7</v>
      </c>
      <c r="I85" s="39" t="s">
        <v>26</v>
      </c>
      <c r="J85" s="39" t="s">
        <v>27</v>
      </c>
      <c r="K85" s="40" t="s">
        <v>10</v>
      </c>
    </row>
    <row r="86" spans="1:12" x14ac:dyDescent="0.25">
      <c r="A86" s="41" t="s">
        <v>12</v>
      </c>
      <c r="B86" s="42" t="s">
        <v>13</v>
      </c>
      <c r="C86" s="43" t="s">
        <v>13</v>
      </c>
      <c r="D86" s="43" t="s">
        <v>13</v>
      </c>
      <c r="E86" s="43" t="s">
        <v>13</v>
      </c>
      <c r="F86" s="43" t="s">
        <v>13</v>
      </c>
      <c r="G86" s="43" t="s">
        <v>13</v>
      </c>
      <c r="H86" s="43" t="s">
        <v>13</v>
      </c>
      <c r="I86" s="43" t="s">
        <v>13</v>
      </c>
      <c r="J86" s="43" t="s">
        <v>13</v>
      </c>
      <c r="K86" s="44" t="s">
        <v>13</v>
      </c>
    </row>
    <row r="87" spans="1:12" x14ac:dyDescent="0.25">
      <c r="A87" s="669" t="s">
        <v>28</v>
      </c>
      <c r="B87" s="45"/>
      <c r="C87" s="45"/>
      <c r="D87" s="45"/>
      <c r="E87" s="45"/>
      <c r="F87" s="45"/>
      <c r="G87" s="45"/>
      <c r="H87" s="45"/>
      <c r="I87" s="45"/>
      <c r="J87" s="45"/>
      <c r="K87" s="46"/>
    </row>
    <row r="88" spans="1:12" x14ac:dyDescent="0.25">
      <c r="A88" s="8" t="s">
        <v>29</v>
      </c>
      <c r="B88" s="4">
        <v>287</v>
      </c>
      <c r="C88" s="6">
        <v>10887.050000000001</v>
      </c>
      <c r="D88" s="6"/>
      <c r="E88" s="6"/>
      <c r="F88" s="6"/>
      <c r="G88" s="6"/>
      <c r="H88" s="6"/>
      <c r="I88" s="6">
        <v>111834.90000000001</v>
      </c>
      <c r="J88" s="6">
        <v>191110.40000000002</v>
      </c>
      <c r="K88" s="53">
        <v>314119.35000000003</v>
      </c>
    </row>
    <row r="89" spans="1:12" x14ac:dyDescent="0.25">
      <c r="A89" s="9" t="s">
        <v>30</v>
      </c>
      <c r="C89" s="7">
        <v>602.70000000000005</v>
      </c>
      <c r="D89" s="7"/>
      <c r="E89" s="7">
        <v>1246.3500000000001</v>
      </c>
      <c r="F89" s="7">
        <v>27119.599999999999</v>
      </c>
      <c r="G89" s="7">
        <v>4290.1000000000004</v>
      </c>
      <c r="H89" s="7">
        <v>4427.8</v>
      </c>
      <c r="I89" s="7">
        <v>108.69999999999999</v>
      </c>
      <c r="J89" s="7">
        <v>13.5</v>
      </c>
      <c r="K89" s="47">
        <v>37808.749999999993</v>
      </c>
    </row>
    <row r="90" spans="1:12" x14ac:dyDescent="0.25">
      <c r="A90" s="8" t="s">
        <v>31</v>
      </c>
      <c r="B90" s="4"/>
      <c r="C90" s="6"/>
      <c r="D90" s="6"/>
      <c r="E90" s="6">
        <v>4.0999999999999996</v>
      </c>
      <c r="F90" s="6">
        <v>271.37</v>
      </c>
      <c r="G90" s="6">
        <v>129.76</v>
      </c>
      <c r="H90" s="6"/>
      <c r="I90" s="6">
        <v>69</v>
      </c>
      <c r="J90" s="6">
        <v>227.98000000000002</v>
      </c>
      <c r="K90" s="53">
        <v>702.21</v>
      </c>
    </row>
    <row r="91" spans="1:12" x14ac:dyDescent="0.25">
      <c r="A91" s="9" t="s">
        <v>32</v>
      </c>
      <c r="B91">
        <v>19.649999999999999</v>
      </c>
      <c r="C91" s="7">
        <v>52754.05000000001</v>
      </c>
      <c r="D91" s="7"/>
      <c r="E91" s="7">
        <v>19026.5</v>
      </c>
      <c r="F91" s="7">
        <v>270412.50999999995</v>
      </c>
      <c r="G91" s="7">
        <v>61381.830000000024</v>
      </c>
      <c r="H91" s="7">
        <v>51415.040000000015</v>
      </c>
      <c r="I91" s="7">
        <v>8795.5999999999985</v>
      </c>
      <c r="J91" s="7">
        <v>10878.170000000002</v>
      </c>
      <c r="K91" s="47">
        <v>474683.34999999992</v>
      </c>
    </row>
    <row r="92" spans="1:12" x14ac:dyDescent="0.25">
      <c r="A92" s="8" t="s">
        <v>33</v>
      </c>
      <c r="B92" s="4"/>
      <c r="C92" s="6"/>
      <c r="D92" s="6"/>
      <c r="E92" s="6"/>
      <c r="F92" s="6"/>
      <c r="G92" s="6"/>
      <c r="H92" s="6"/>
      <c r="I92" s="6"/>
      <c r="J92" s="6">
        <v>-5.29</v>
      </c>
      <c r="K92" s="53">
        <v>-5.29</v>
      </c>
    </row>
    <row r="93" spans="1:12" x14ac:dyDescent="0.25">
      <c r="A93" s="9" t="s">
        <v>34</v>
      </c>
      <c r="C93" s="7">
        <v>5908.7800000000007</v>
      </c>
      <c r="D93" s="7"/>
      <c r="E93" s="7">
        <v>2442.0299999999997</v>
      </c>
      <c r="F93" s="7">
        <v>17459.010000000002</v>
      </c>
      <c r="G93" s="7">
        <v>8972.1200000000008</v>
      </c>
      <c r="H93" s="7">
        <v>517.14</v>
      </c>
      <c r="I93" s="7">
        <v>31648.969999999987</v>
      </c>
      <c r="J93" s="7">
        <v>21297.720000000005</v>
      </c>
      <c r="K93" s="47">
        <v>88245.76999999999</v>
      </c>
    </row>
    <row r="94" spans="1:12" x14ac:dyDescent="0.25">
      <c r="A94" s="8" t="s">
        <v>35</v>
      </c>
      <c r="B94" s="4">
        <v>10.7</v>
      </c>
      <c r="C94" s="6">
        <v>50548.289999999994</v>
      </c>
      <c r="D94" s="6"/>
      <c r="E94" s="6">
        <v>18589.710000000003</v>
      </c>
      <c r="F94" s="6">
        <v>192902.92</v>
      </c>
      <c r="G94" s="6">
        <v>67901.759999999995</v>
      </c>
      <c r="H94" s="6">
        <v>38175.109999999993</v>
      </c>
      <c r="I94" s="6">
        <v>7572.0400000000009</v>
      </c>
      <c r="J94" s="6">
        <v>9478.85</v>
      </c>
      <c r="K94" s="53">
        <v>385179.38</v>
      </c>
    </row>
    <row r="95" spans="1:12" x14ac:dyDescent="0.25">
      <c r="A95" s="48"/>
      <c r="K95" s="1"/>
    </row>
    <row r="96" spans="1:12" x14ac:dyDescent="0.25">
      <c r="A96" s="49" t="s">
        <v>10</v>
      </c>
      <c r="B96" s="50"/>
      <c r="C96" s="51">
        <f>SUM(C88:C94)</f>
        <v>120700.87000000001</v>
      </c>
      <c r="D96" s="51">
        <f t="shared" ref="D96:K96" si="29">SUM(D88:D94)</f>
        <v>0</v>
      </c>
      <c r="E96" s="51">
        <f t="shared" si="29"/>
        <v>41308.69</v>
      </c>
      <c r="F96" s="51">
        <f t="shared" si="29"/>
        <v>508165.40999999992</v>
      </c>
      <c r="G96" s="51">
        <f t="shared" si="29"/>
        <v>142675.57</v>
      </c>
      <c r="H96" s="51">
        <f t="shared" si="29"/>
        <v>94535.090000000011</v>
      </c>
      <c r="I96" s="51">
        <f t="shared" si="29"/>
        <v>160029.21</v>
      </c>
      <c r="J96" s="51">
        <f t="shared" si="29"/>
        <v>233001.33000000005</v>
      </c>
      <c r="K96" s="52">
        <f t="shared" si="29"/>
        <v>1300733.52</v>
      </c>
      <c r="L96" s="280"/>
    </row>
  </sheetData>
  <mergeCells count="4">
    <mergeCell ref="A1:L1"/>
    <mergeCell ref="A41:L41"/>
    <mergeCell ref="A59:L59"/>
    <mergeCell ref="A50:L5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6DFB9-864F-479C-B7CF-8483DE1175D2}">
  <sheetPr codeName="Sheet9">
    <tabColor theme="1"/>
  </sheetPr>
  <dimension ref="A1:Q67"/>
  <sheetViews>
    <sheetView zoomScale="115" zoomScaleNormal="115" workbookViewId="0">
      <selection activeCell="P54" sqref="P54"/>
    </sheetView>
  </sheetViews>
  <sheetFormatPr defaultColWidth="9" defaultRowHeight="15" x14ac:dyDescent="0.25"/>
  <cols>
    <col min="1" max="1" width="2.28515625" style="178" customWidth="1"/>
    <col min="2" max="2" width="26.28515625" style="178" bestFit="1" customWidth="1"/>
    <col min="3" max="3" width="11.7109375" style="178" bestFit="1" customWidth="1"/>
    <col min="4" max="4" width="10.85546875" style="178" bestFit="1" customWidth="1"/>
    <col min="5" max="6" width="11" style="178" bestFit="1" customWidth="1"/>
    <col min="7" max="7" width="10.5703125" style="178" bestFit="1" customWidth="1"/>
    <col min="8" max="8" width="11" style="178" bestFit="1" customWidth="1"/>
    <col min="9" max="10" width="9.5703125" style="178" bestFit="1" customWidth="1"/>
    <col min="11" max="11" width="8.85546875" style="178" bestFit="1" customWidth="1"/>
    <col min="12" max="12" width="8.28515625" style="178" bestFit="1" customWidth="1"/>
    <col min="13" max="13" width="6" style="178" bestFit="1" customWidth="1"/>
    <col min="14" max="14" width="8.28515625" style="178" bestFit="1" customWidth="1"/>
    <col min="15" max="15" width="7.28515625" style="178" bestFit="1" customWidth="1"/>
    <col min="16" max="16" width="16.28515625" style="178" bestFit="1" customWidth="1"/>
    <col min="17" max="17" width="12.7109375" style="178" bestFit="1" customWidth="1"/>
    <col min="18" max="18" width="6" style="178" bestFit="1" customWidth="1"/>
    <col min="19" max="21" width="5" style="178" bestFit="1" customWidth="1"/>
    <col min="22" max="22" width="2.28515625" style="178" customWidth="1"/>
    <col min="23" max="23" width="4" style="178" bestFit="1" customWidth="1"/>
    <col min="24" max="24" width="5" style="178" bestFit="1" customWidth="1"/>
    <col min="25" max="25" width="6" style="178" bestFit="1" customWidth="1"/>
    <col min="26" max="27" width="3.28515625" style="178" bestFit="1" customWidth="1"/>
    <col min="28" max="28" width="6" style="178" bestFit="1" customWidth="1"/>
    <col min="29" max="29" width="8.28515625" style="178" bestFit="1" customWidth="1"/>
    <col min="30" max="30" width="16" style="178" bestFit="1" customWidth="1"/>
    <col min="31" max="31" width="13.5703125" style="178" bestFit="1" customWidth="1"/>
    <col min="32" max="35" width="5" style="178" bestFit="1" customWidth="1"/>
    <col min="36" max="36" width="2.28515625" style="178" bestFit="1" customWidth="1"/>
    <col min="37" max="38" width="5" style="178" bestFit="1" customWidth="1"/>
    <col min="39" max="40" width="6" style="178" bestFit="1" customWidth="1"/>
    <col min="41" max="41" width="4.28515625" style="178" bestFit="1" customWidth="1"/>
    <col min="42" max="42" width="6" style="178" bestFit="1" customWidth="1"/>
    <col min="43" max="43" width="6.5703125" style="178" bestFit="1" customWidth="1"/>
    <col min="44" max="44" width="16.7109375" style="178" bestFit="1" customWidth="1"/>
    <col min="45" max="45" width="12.28515625" style="178" bestFit="1" customWidth="1"/>
    <col min="46" max="46" width="6" style="178" bestFit="1" customWidth="1"/>
    <col min="47" max="49" width="5" style="178" bestFit="1" customWidth="1"/>
    <col min="50" max="50" width="2.28515625" style="178" bestFit="1" customWidth="1"/>
    <col min="51" max="53" width="5" style="178" bestFit="1" customWidth="1"/>
    <col min="54" max="54" width="6" style="178" bestFit="1" customWidth="1"/>
    <col min="55" max="55" width="4.28515625" style="178" bestFit="1" customWidth="1"/>
    <col min="56" max="56" width="6" style="178" bestFit="1" customWidth="1"/>
    <col min="57" max="57" width="8.28515625" style="178" bestFit="1" customWidth="1"/>
    <col min="58" max="58" width="15.7109375" style="178" bestFit="1" customWidth="1"/>
    <col min="59" max="59" width="11.85546875" style="178" bestFit="1" customWidth="1"/>
    <col min="60" max="60" width="6" style="178" bestFit="1" customWidth="1"/>
    <col min="61" max="63" width="5" style="178" bestFit="1" customWidth="1"/>
    <col min="64" max="64" width="2.28515625" style="178" bestFit="1" customWidth="1"/>
    <col min="65" max="66" width="5" style="178" bestFit="1" customWidth="1"/>
    <col min="67" max="67" width="6" style="178" bestFit="1" customWidth="1"/>
    <col min="68" max="69" width="4.28515625" style="178" bestFit="1" customWidth="1"/>
    <col min="70" max="70" width="6" style="178" bestFit="1" customWidth="1"/>
    <col min="71" max="71" width="8.28515625" style="178" bestFit="1" customWidth="1"/>
    <col min="72" max="72" width="15" style="178" bestFit="1" customWidth="1"/>
    <col min="73" max="73" width="12.85546875" style="178" bestFit="1" customWidth="1"/>
    <col min="74" max="74" width="5" style="178" bestFit="1" customWidth="1"/>
    <col min="75" max="75" width="6" style="178" bestFit="1" customWidth="1"/>
    <col min="76" max="77" width="5" style="178" bestFit="1" customWidth="1"/>
    <col min="78" max="78" width="2.28515625" style="178" bestFit="1" customWidth="1"/>
    <col min="79" max="80" width="5" style="178" bestFit="1" customWidth="1"/>
    <col min="81" max="82" width="6" style="178" bestFit="1" customWidth="1"/>
    <col min="83" max="83" width="4.28515625" style="178" bestFit="1" customWidth="1"/>
    <col min="84" max="84" width="6" style="178" bestFit="1" customWidth="1"/>
    <col min="85" max="85" width="8.28515625" style="178" bestFit="1" customWidth="1"/>
    <col min="86" max="86" width="16.28515625" style="178" bestFit="1" customWidth="1"/>
    <col min="87" max="16384" width="9" style="178"/>
  </cols>
  <sheetData>
    <row r="1" spans="2:16" x14ac:dyDescent="0.25">
      <c r="B1" s="206" t="s">
        <v>181</v>
      </c>
      <c r="C1" s="178" t="s">
        <v>182</v>
      </c>
    </row>
    <row r="2" spans="2:16" x14ac:dyDescent="0.25">
      <c r="B2" s="206" t="s">
        <v>183</v>
      </c>
      <c r="C2" s="178" t="s">
        <v>184</v>
      </c>
    </row>
    <row r="3" spans="2:16" x14ac:dyDescent="0.25">
      <c r="B3" s="206" t="s">
        <v>185</v>
      </c>
      <c r="C3" s="178" t="s">
        <v>182</v>
      </c>
    </row>
    <row r="4" spans="2:16" ht="30.75" customHeight="1" x14ac:dyDescent="0.25">
      <c r="E4" s="239" t="s">
        <v>186</v>
      </c>
      <c r="F4" s="239"/>
      <c r="H4" s="238" t="s">
        <v>187</v>
      </c>
    </row>
    <row r="5" spans="2:16" x14ac:dyDescent="0.25">
      <c r="B5" s="206" t="s">
        <v>188</v>
      </c>
      <c r="C5" s="206" t="s">
        <v>189</v>
      </c>
    </row>
    <row r="6" spans="2:16" ht="15.75" thickBot="1" x14ac:dyDescent="0.3">
      <c r="B6" s="206" t="s">
        <v>181</v>
      </c>
      <c r="C6" s="237" t="s">
        <v>190</v>
      </c>
      <c r="D6" s="237" t="s">
        <v>191</v>
      </c>
      <c r="E6" s="237" t="s">
        <v>192</v>
      </c>
      <c r="F6" s="237" t="s">
        <v>193</v>
      </c>
      <c r="G6" s="237" t="s">
        <v>194</v>
      </c>
      <c r="H6" s="237" t="s">
        <v>195</v>
      </c>
      <c r="I6" s="237" t="s">
        <v>196</v>
      </c>
      <c r="K6" s="192">
        <v>45712</v>
      </c>
      <c r="O6" s="227"/>
      <c r="P6" s="227"/>
    </row>
    <row r="7" spans="2:16" x14ac:dyDescent="0.25">
      <c r="B7" s="183" t="s">
        <v>197</v>
      </c>
      <c r="C7" s="219">
        <v>1194</v>
      </c>
      <c r="D7" s="219">
        <v>1243</v>
      </c>
      <c r="E7" s="219">
        <v>1363</v>
      </c>
      <c r="F7" s="219">
        <v>1409</v>
      </c>
      <c r="G7" s="219">
        <v>1433</v>
      </c>
      <c r="H7" s="220">
        <v>1600</v>
      </c>
      <c r="I7" s="236">
        <v>1373.6666666666667</v>
      </c>
      <c r="K7" s="203" t="s">
        <v>198</v>
      </c>
      <c r="L7" s="202">
        <v>0.63008029081883399</v>
      </c>
      <c r="M7" s="221"/>
      <c r="N7" s="188"/>
      <c r="O7" s="180"/>
      <c r="P7" s="188"/>
    </row>
    <row r="8" spans="2:16" x14ac:dyDescent="0.25">
      <c r="B8" s="183" t="s">
        <v>199</v>
      </c>
      <c r="C8" s="219">
        <v>148532</v>
      </c>
      <c r="D8" s="219">
        <v>158653</v>
      </c>
      <c r="E8" s="219">
        <v>179960</v>
      </c>
      <c r="F8" s="219">
        <v>212843</v>
      </c>
      <c r="G8" s="219">
        <v>191975</v>
      </c>
      <c r="H8" s="220">
        <v>179709</v>
      </c>
      <c r="I8" s="219">
        <v>178612</v>
      </c>
      <c r="K8" s="197" t="s">
        <v>200</v>
      </c>
      <c r="L8" s="222">
        <v>0.31852214110899052</v>
      </c>
      <c r="M8" s="221"/>
      <c r="N8" s="188"/>
      <c r="O8" s="180"/>
      <c r="P8" s="188"/>
    </row>
    <row r="9" spans="2:16" ht="15.75" thickBot="1" x14ac:dyDescent="0.3">
      <c r="B9" s="183" t="s">
        <v>201</v>
      </c>
      <c r="C9" s="233">
        <v>32.68</v>
      </c>
      <c r="D9" s="233">
        <v>32.33</v>
      </c>
      <c r="E9" s="233">
        <v>34</v>
      </c>
      <c r="F9" s="233">
        <v>38.200000000000003</v>
      </c>
      <c r="G9" s="235">
        <v>35.31</v>
      </c>
      <c r="H9" s="234">
        <v>33.6</v>
      </c>
      <c r="I9" s="233">
        <v>34.353333333333332</v>
      </c>
      <c r="K9" s="194" t="s">
        <v>202</v>
      </c>
      <c r="L9" s="232">
        <v>5.1397569176989663E-2</v>
      </c>
      <c r="M9" s="231"/>
      <c r="O9" s="223"/>
      <c r="P9" s="188"/>
    </row>
    <row r="10" spans="2:16" x14ac:dyDescent="0.25">
      <c r="B10" s="183" t="s">
        <v>203</v>
      </c>
      <c r="C10" s="213">
        <v>0.49</v>
      </c>
      <c r="D10" s="213">
        <v>0.48</v>
      </c>
      <c r="E10" s="213">
        <v>0.48</v>
      </c>
      <c r="F10" s="213">
        <v>0.47</v>
      </c>
      <c r="G10" s="213">
        <v>0.47</v>
      </c>
      <c r="H10" s="214">
        <v>0.46</v>
      </c>
      <c r="I10" s="213">
        <v>0.47499999999999992</v>
      </c>
      <c r="L10" s="180"/>
      <c r="P10" s="188"/>
    </row>
    <row r="11" spans="2:16" x14ac:dyDescent="0.25">
      <c r="B11" s="183" t="s">
        <v>204</v>
      </c>
      <c r="C11" s="229">
        <v>1.44</v>
      </c>
      <c r="D11" s="229">
        <v>1.44</v>
      </c>
      <c r="E11" s="229">
        <v>1.45</v>
      </c>
      <c r="F11" s="229">
        <v>1.45</v>
      </c>
      <c r="G11" s="229">
        <v>1.45</v>
      </c>
      <c r="H11" s="230">
        <v>1.45</v>
      </c>
      <c r="I11" s="229">
        <v>1.4466666666666665</v>
      </c>
      <c r="O11" s="221"/>
    </row>
    <row r="12" spans="2:16" x14ac:dyDescent="0.25">
      <c r="B12" s="183" t="s">
        <v>205</v>
      </c>
      <c r="C12" s="224">
        <v>0.28000000000000003</v>
      </c>
      <c r="D12" s="224">
        <v>0.28999999999999998</v>
      </c>
      <c r="E12" s="224">
        <v>0.28000000000000003</v>
      </c>
      <c r="F12" s="224">
        <v>0.26</v>
      </c>
      <c r="G12" s="224">
        <v>0.28000000000000003</v>
      </c>
      <c r="H12" s="225">
        <v>0.28999999999999998</v>
      </c>
      <c r="I12" s="224">
        <v>0.28000000000000003</v>
      </c>
      <c r="K12" s="192"/>
    </row>
    <row r="13" spans="2:16" x14ac:dyDescent="0.25">
      <c r="B13" s="183" t="s">
        <v>206</v>
      </c>
      <c r="C13" s="224">
        <v>0.71</v>
      </c>
      <c r="D13" s="224">
        <v>0.7</v>
      </c>
      <c r="E13" s="224">
        <v>0.7</v>
      </c>
      <c r="F13" s="224">
        <v>0.69</v>
      </c>
      <c r="G13" s="224">
        <v>0.68</v>
      </c>
      <c r="H13" s="225">
        <v>0.68</v>
      </c>
      <c r="I13" s="224">
        <v>0.69333333333333336</v>
      </c>
      <c r="K13" s="228"/>
      <c r="L13" s="188"/>
      <c r="N13" s="227"/>
      <c r="O13" s="227"/>
      <c r="P13" s="227"/>
    </row>
    <row r="14" spans="2:16" x14ac:dyDescent="0.25">
      <c r="B14" s="183" t="s">
        <v>207</v>
      </c>
      <c r="C14" s="224">
        <v>0.87</v>
      </c>
      <c r="D14" s="224">
        <v>0.89</v>
      </c>
      <c r="E14" s="224">
        <v>0.9</v>
      </c>
      <c r="F14" s="188">
        <v>0.9</v>
      </c>
      <c r="G14" s="226">
        <v>0.93</v>
      </c>
      <c r="H14" s="225">
        <v>0.94</v>
      </c>
      <c r="I14" s="224">
        <v>0.90499999999999992</v>
      </c>
      <c r="N14" s="188"/>
      <c r="O14" s="180"/>
      <c r="P14" s="188"/>
    </row>
    <row r="15" spans="2:16" ht="15.75" thickBot="1" x14ac:dyDescent="0.3">
      <c r="B15" s="183" t="s">
        <v>208</v>
      </c>
      <c r="C15" s="224">
        <v>1.78</v>
      </c>
      <c r="D15" s="224">
        <v>1.78</v>
      </c>
      <c r="E15" s="224">
        <v>1.77</v>
      </c>
      <c r="F15" s="224">
        <v>1.76</v>
      </c>
      <c r="G15" s="224">
        <v>1.76</v>
      </c>
      <c r="H15" s="225">
        <v>1.77</v>
      </c>
      <c r="I15" s="224">
        <v>1.7699999999999998</v>
      </c>
      <c r="K15" s="192">
        <v>45681</v>
      </c>
      <c r="O15" s="180"/>
      <c r="P15" s="188"/>
    </row>
    <row r="16" spans="2:16" x14ac:dyDescent="0.25">
      <c r="B16" s="183" t="s">
        <v>209</v>
      </c>
      <c r="C16" s="224">
        <v>0.73</v>
      </c>
      <c r="D16" s="224">
        <v>0.75</v>
      </c>
      <c r="E16" s="224">
        <v>0.75</v>
      </c>
      <c r="F16" s="224">
        <v>0.76</v>
      </c>
      <c r="G16" s="224">
        <v>0.77</v>
      </c>
      <c r="H16" s="225">
        <v>0.77</v>
      </c>
      <c r="I16" s="224">
        <v>0.755</v>
      </c>
      <c r="K16" s="203" t="s">
        <v>198</v>
      </c>
      <c r="L16" s="202">
        <v>0.63600000000000001</v>
      </c>
      <c r="O16" s="223"/>
      <c r="P16" s="188"/>
    </row>
    <row r="17" spans="2:16" x14ac:dyDescent="0.25">
      <c r="B17" s="183" t="s">
        <v>210</v>
      </c>
      <c r="C17" s="219">
        <v>2135.69</v>
      </c>
      <c r="D17" s="219">
        <v>2292.36</v>
      </c>
      <c r="E17" s="219">
        <v>2612.87</v>
      </c>
      <c r="F17" s="219">
        <v>3086.31</v>
      </c>
      <c r="G17" s="219">
        <v>2775.15</v>
      </c>
      <c r="H17" s="220">
        <v>2612.0700000000002</v>
      </c>
      <c r="I17" s="219">
        <v>2585.7416666666663</v>
      </c>
      <c r="K17" s="197" t="s">
        <v>200</v>
      </c>
      <c r="L17" s="222">
        <v>0.31900000000000001</v>
      </c>
      <c r="M17" s="221"/>
      <c r="P17" s="188"/>
    </row>
    <row r="18" spans="2:16" ht="15.75" thickBot="1" x14ac:dyDescent="0.3">
      <c r="B18" s="183" t="s">
        <v>211</v>
      </c>
      <c r="C18" s="219">
        <v>1089.03</v>
      </c>
      <c r="D18" s="219">
        <v>1197.73</v>
      </c>
      <c r="E18" s="219">
        <v>1365.42</v>
      </c>
      <c r="F18" s="219">
        <v>1620.52</v>
      </c>
      <c r="G18" s="219">
        <v>1478.07</v>
      </c>
      <c r="H18" s="220">
        <v>1402.58</v>
      </c>
      <c r="I18" s="219">
        <v>1358.8916666666667</v>
      </c>
      <c r="K18" s="194" t="s">
        <v>202</v>
      </c>
      <c r="L18" s="184">
        <v>4.4999999999999998E-2</v>
      </c>
    </row>
    <row r="19" spans="2:16" x14ac:dyDescent="0.25">
      <c r="L19" s="180"/>
    </row>
    <row r="20" spans="2:16" x14ac:dyDescent="0.25">
      <c r="L20" s="180"/>
    </row>
    <row r="21" spans="2:16" x14ac:dyDescent="0.25">
      <c r="L21" s="180"/>
    </row>
    <row r="22" spans="2:16" x14ac:dyDescent="0.25">
      <c r="L22" s="180"/>
    </row>
    <row r="25" spans="2:16" x14ac:dyDescent="0.25">
      <c r="B25" s="206" t="s">
        <v>185</v>
      </c>
      <c r="C25" s="178" t="s">
        <v>182</v>
      </c>
    </row>
    <row r="26" spans="2:16" x14ac:dyDescent="0.25">
      <c r="H26" s="853" t="s">
        <v>212</v>
      </c>
      <c r="I26" s="853"/>
    </row>
    <row r="27" spans="2:16" ht="15.75" thickBot="1" x14ac:dyDescent="0.3">
      <c r="B27" s="206" t="s">
        <v>213</v>
      </c>
      <c r="C27" s="206" t="s">
        <v>214</v>
      </c>
      <c r="K27" s="192">
        <v>45690</v>
      </c>
    </row>
    <row r="28" spans="2:16" x14ac:dyDescent="0.25">
      <c r="B28" s="206" t="s">
        <v>181</v>
      </c>
      <c r="C28" s="178" t="s">
        <v>215</v>
      </c>
      <c r="D28" s="178" t="s">
        <v>216</v>
      </c>
      <c r="E28" s="178" t="s">
        <v>217</v>
      </c>
      <c r="F28" s="178" t="s">
        <v>218</v>
      </c>
      <c r="G28" s="178" t="s">
        <v>219</v>
      </c>
      <c r="H28" s="178" t="s">
        <v>220</v>
      </c>
      <c r="I28" s="178" t="s">
        <v>221</v>
      </c>
      <c r="K28" s="191" t="s">
        <v>198</v>
      </c>
      <c r="L28" s="190">
        <v>0.65800000000000003</v>
      </c>
    </row>
    <row r="29" spans="2:16" x14ac:dyDescent="0.25">
      <c r="B29" s="178" t="s">
        <v>197</v>
      </c>
      <c r="C29" s="178">
        <v>203</v>
      </c>
      <c r="D29" s="178">
        <v>225</v>
      </c>
      <c r="E29" s="178">
        <v>236</v>
      </c>
      <c r="F29" s="178">
        <v>252</v>
      </c>
      <c r="G29" s="178">
        <v>258</v>
      </c>
      <c r="H29" s="208">
        <v>265</v>
      </c>
      <c r="I29" s="188">
        <v>239.83333333333334</v>
      </c>
      <c r="K29" s="187" t="s">
        <v>200</v>
      </c>
      <c r="L29" s="186">
        <v>0.32800000000000001</v>
      </c>
    </row>
    <row r="30" spans="2:16" ht="15.75" thickBot="1" x14ac:dyDescent="0.3">
      <c r="B30" s="178" t="s">
        <v>199</v>
      </c>
      <c r="C30" s="181">
        <v>30143.200000000001</v>
      </c>
      <c r="D30" s="181">
        <v>36703.4</v>
      </c>
      <c r="E30" s="181">
        <v>41614.9</v>
      </c>
      <c r="F30" s="181">
        <v>48189.8</v>
      </c>
      <c r="G30" s="181">
        <v>43444.1</v>
      </c>
      <c r="H30" s="182">
        <v>39794.800000000003</v>
      </c>
      <c r="I30" s="181">
        <v>39981.700000000004</v>
      </c>
      <c r="K30" s="185" t="s">
        <v>202</v>
      </c>
      <c r="L30" s="210">
        <v>1.4E-2</v>
      </c>
    </row>
    <row r="31" spans="2:16" x14ac:dyDescent="0.25">
      <c r="B31" s="178" t="s">
        <v>201</v>
      </c>
      <c r="C31" s="198">
        <v>32.1</v>
      </c>
      <c r="D31" s="198">
        <v>31.62</v>
      </c>
      <c r="E31" s="198">
        <v>32.020000000000003</v>
      </c>
      <c r="F31" s="198">
        <v>34.99</v>
      </c>
      <c r="G31" s="218">
        <v>32.869999999999997</v>
      </c>
      <c r="H31" s="217">
        <v>30.86</v>
      </c>
      <c r="I31" s="198">
        <v>32.410000000000004</v>
      </c>
      <c r="K31" s="216"/>
      <c r="L31" s="215"/>
    </row>
    <row r="32" spans="2:16" x14ac:dyDescent="0.25">
      <c r="B32" s="178" t="s">
        <v>203</v>
      </c>
      <c r="C32" s="213">
        <v>0.57099999999999995</v>
      </c>
      <c r="D32" s="213">
        <v>0.55800000000000005</v>
      </c>
      <c r="E32" s="213">
        <v>0.55200000000000005</v>
      </c>
      <c r="F32" s="213">
        <v>0.55500000000000005</v>
      </c>
      <c r="G32" s="213">
        <v>0.52200000000000002</v>
      </c>
      <c r="H32" s="214">
        <v>0.53500000000000003</v>
      </c>
      <c r="I32" s="213">
        <v>0.5488333333333334</v>
      </c>
    </row>
    <row r="33" spans="1:17" x14ac:dyDescent="0.25">
      <c r="B33" s="178" t="s">
        <v>222</v>
      </c>
      <c r="C33" s="188">
        <v>1.34</v>
      </c>
      <c r="D33" s="188">
        <v>1.32</v>
      </c>
      <c r="E33" s="188">
        <v>1.3</v>
      </c>
      <c r="F33" s="188">
        <v>1.3</v>
      </c>
      <c r="G33" s="188">
        <v>1.29</v>
      </c>
      <c r="H33" s="189">
        <v>1.3</v>
      </c>
      <c r="I33" s="188">
        <v>1.3083333333333333</v>
      </c>
    </row>
    <row r="34" spans="1:17" ht="15.75" thickBot="1" x14ac:dyDescent="0.3">
      <c r="B34" s="178" t="s">
        <v>223</v>
      </c>
      <c r="C34" s="188">
        <v>1</v>
      </c>
      <c r="D34" s="188">
        <v>1</v>
      </c>
      <c r="E34" s="188">
        <v>1</v>
      </c>
      <c r="F34" s="188">
        <v>1</v>
      </c>
      <c r="G34" s="188">
        <v>1</v>
      </c>
      <c r="H34" s="189">
        <v>1</v>
      </c>
      <c r="I34" s="188">
        <v>1</v>
      </c>
      <c r="K34" s="192">
        <v>45658</v>
      </c>
    </row>
    <row r="35" spans="1:17" x14ac:dyDescent="0.25">
      <c r="B35" s="178" t="s">
        <v>206</v>
      </c>
      <c r="C35" s="178">
        <v>0.8</v>
      </c>
      <c r="D35" s="178">
        <v>0.77</v>
      </c>
      <c r="E35" s="178">
        <v>0.75</v>
      </c>
      <c r="F35" s="178">
        <v>0.74</v>
      </c>
      <c r="G35" s="188">
        <v>0.7</v>
      </c>
      <c r="H35" s="208">
        <v>0.72</v>
      </c>
      <c r="I35" s="188">
        <v>0.7466666666666667</v>
      </c>
      <c r="K35" s="191" t="s">
        <v>198</v>
      </c>
      <c r="L35" s="190">
        <v>0.66</v>
      </c>
    </row>
    <row r="36" spans="1:17" x14ac:dyDescent="0.25">
      <c r="B36" s="178" t="s">
        <v>208</v>
      </c>
      <c r="C36" s="188">
        <v>1.64</v>
      </c>
      <c r="D36" s="188">
        <v>1.61</v>
      </c>
      <c r="E36" s="188">
        <v>1.59</v>
      </c>
      <c r="F36" s="188">
        <v>1.59</v>
      </c>
      <c r="G36" s="188">
        <v>1.59</v>
      </c>
      <c r="H36" s="189">
        <v>1.6</v>
      </c>
      <c r="I36" s="188">
        <v>1.6033333333333333</v>
      </c>
      <c r="K36" s="187" t="s">
        <v>200</v>
      </c>
      <c r="L36" s="186">
        <v>0.32500000000000001</v>
      </c>
    </row>
    <row r="37" spans="1:17" ht="15.75" thickBot="1" x14ac:dyDescent="0.3">
      <c r="B37" s="178" t="s">
        <v>205</v>
      </c>
      <c r="C37" s="178">
        <v>0.25</v>
      </c>
      <c r="D37" s="178">
        <v>0.25</v>
      </c>
      <c r="E37" s="178">
        <v>0.25</v>
      </c>
      <c r="F37" s="178">
        <v>0.23</v>
      </c>
      <c r="G37" s="212">
        <v>0.28000000000000003</v>
      </c>
      <c r="H37" s="211">
        <v>0.25</v>
      </c>
      <c r="I37" s="188">
        <v>0.25166666666666665</v>
      </c>
      <c r="K37" s="185" t="s">
        <v>202</v>
      </c>
      <c r="L37" s="210">
        <v>1.4999999999999999E-2</v>
      </c>
    </row>
    <row r="38" spans="1:17" x14ac:dyDescent="0.25">
      <c r="B38" s="178" t="s">
        <v>207</v>
      </c>
      <c r="C38" s="178">
        <v>0.64</v>
      </c>
      <c r="D38" s="178">
        <v>0.67</v>
      </c>
      <c r="E38" s="178">
        <v>0.67</v>
      </c>
      <c r="F38" s="178">
        <v>0.69</v>
      </c>
      <c r="G38" s="178">
        <v>0.71</v>
      </c>
      <c r="H38" s="208">
        <v>0.71</v>
      </c>
      <c r="I38" s="188">
        <v>0.68166666666666664</v>
      </c>
      <c r="L38" s="180"/>
    </row>
    <row r="39" spans="1:17" x14ac:dyDescent="0.25">
      <c r="B39" s="178" t="s">
        <v>224</v>
      </c>
      <c r="C39" s="209">
        <v>0.54</v>
      </c>
      <c r="D39" s="178">
        <v>0.55000000000000004</v>
      </c>
      <c r="E39" s="178">
        <v>0.55000000000000004</v>
      </c>
      <c r="F39" s="178">
        <v>0.56000000000000005</v>
      </c>
      <c r="G39" s="178">
        <v>0.59</v>
      </c>
      <c r="H39" s="208">
        <v>0.57999999999999996</v>
      </c>
      <c r="I39" s="188">
        <v>0.56166666666666665</v>
      </c>
    </row>
    <row r="40" spans="1:17" x14ac:dyDescent="0.25">
      <c r="B40" s="178" t="s">
        <v>210</v>
      </c>
      <c r="C40" s="204">
        <v>376.3</v>
      </c>
      <c r="D40" s="204">
        <v>456.4</v>
      </c>
      <c r="E40" s="204">
        <v>514.70000000000005</v>
      </c>
      <c r="F40" s="204">
        <v>600.79999999999995</v>
      </c>
      <c r="G40" s="204">
        <v>537.5</v>
      </c>
      <c r="H40" s="205">
        <v>494.5</v>
      </c>
      <c r="I40" s="204">
        <v>496.7</v>
      </c>
    </row>
    <row r="41" spans="1:17" x14ac:dyDescent="0.25">
      <c r="B41" s="178" t="s">
        <v>211</v>
      </c>
      <c r="C41" s="204">
        <v>161.30000000000001</v>
      </c>
      <c r="D41" s="204">
        <v>201.5</v>
      </c>
      <c r="E41" s="204">
        <v>230.5</v>
      </c>
      <c r="F41" s="204">
        <v>267.3</v>
      </c>
      <c r="G41" s="204">
        <v>257</v>
      </c>
      <c r="H41" s="205">
        <v>230.2</v>
      </c>
      <c r="I41" s="204">
        <v>224.63333333333333</v>
      </c>
    </row>
    <row r="42" spans="1:17" x14ac:dyDescent="0.25">
      <c r="C42" s="188"/>
      <c r="D42" s="188"/>
      <c r="E42" s="188"/>
      <c r="F42" s="188"/>
      <c r="G42" s="188"/>
      <c r="H42" s="188"/>
      <c r="I42" s="188"/>
    </row>
    <row r="43" spans="1:17" x14ac:dyDescent="0.25">
      <c r="A43" s="207"/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207"/>
      <c r="O43" s="207"/>
      <c r="P43" s="207"/>
      <c r="Q43" s="207"/>
    </row>
    <row r="45" spans="1:17" x14ac:dyDescent="0.25">
      <c r="B45" s="206" t="s">
        <v>185</v>
      </c>
      <c r="C45" s="178" t="s">
        <v>182</v>
      </c>
    </row>
    <row r="46" spans="1:17" x14ac:dyDescent="0.25">
      <c r="H46" s="853" t="s">
        <v>212</v>
      </c>
      <c r="I46" s="853"/>
    </row>
    <row r="47" spans="1:17" x14ac:dyDescent="0.25">
      <c r="B47" s="206" t="s">
        <v>225</v>
      </c>
      <c r="C47" s="206" t="s">
        <v>214</v>
      </c>
    </row>
    <row r="48" spans="1:17" x14ac:dyDescent="0.25">
      <c r="B48" s="206" t="s">
        <v>181</v>
      </c>
      <c r="C48" s="178" t="s">
        <v>215</v>
      </c>
      <c r="D48" s="178" t="s">
        <v>216</v>
      </c>
      <c r="E48" s="178" t="s">
        <v>217</v>
      </c>
      <c r="F48" s="178" t="s">
        <v>218</v>
      </c>
      <c r="G48" s="178" t="s">
        <v>219</v>
      </c>
      <c r="H48" s="178" t="s">
        <v>226</v>
      </c>
      <c r="I48" s="178" t="s">
        <v>221</v>
      </c>
    </row>
    <row r="49" spans="2:12" ht="15.75" thickBot="1" x14ac:dyDescent="0.3">
      <c r="B49" s="183" t="s">
        <v>197</v>
      </c>
      <c r="C49" s="204">
        <v>1397</v>
      </c>
      <c r="D49" s="204">
        <v>1468</v>
      </c>
      <c r="E49" s="204">
        <v>1599</v>
      </c>
      <c r="F49" s="204">
        <v>1661</v>
      </c>
      <c r="G49" s="204">
        <v>1691</v>
      </c>
      <c r="H49" s="205">
        <v>1865</v>
      </c>
      <c r="I49" s="204">
        <v>1613.5</v>
      </c>
      <c r="K49" s="192">
        <v>45689</v>
      </c>
    </row>
    <row r="50" spans="2:12" x14ac:dyDescent="0.25">
      <c r="B50" s="183" t="s">
        <v>199</v>
      </c>
      <c r="C50" s="181">
        <v>178675.20000000001</v>
      </c>
      <c r="D50" s="181">
        <v>195356.4</v>
      </c>
      <c r="E50" s="181">
        <v>221574.9</v>
      </c>
      <c r="F50" s="181">
        <v>261032.8</v>
      </c>
      <c r="G50" s="181">
        <v>235419.1</v>
      </c>
      <c r="H50" s="182">
        <v>219503.8</v>
      </c>
      <c r="I50" s="181">
        <v>218593.70000000004</v>
      </c>
      <c r="K50" s="203" t="s">
        <v>198</v>
      </c>
      <c r="L50" s="202">
        <f>(L28*0.181)+(L7*(1-0.181))</f>
        <v>0.63513375818062501</v>
      </c>
    </row>
    <row r="51" spans="2:12" x14ac:dyDescent="0.25">
      <c r="B51" s="183" t="s">
        <v>201</v>
      </c>
      <c r="C51" s="198">
        <v>32.582154000000003</v>
      </c>
      <c r="D51" s="198">
        <v>32.196590999999998</v>
      </c>
      <c r="E51" s="198">
        <v>33.628156000000004</v>
      </c>
      <c r="F51" s="201">
        <v>37.597162000000004</v>
      </c>
      <c r="G51" s="200">
        <v>34.859723273916991</v>
      </c>
      <c r="H51" s="199">
        <v>33.103250880392444</v>
      </c>
      <c r="I51" s="198">
        <v>33.994506192384904</v>
      </c>
      <c r="K51" s="197" t="s">
        <v>200</v>
      </c>
      <c r="L51" s="196">
        <f>(L29*0.181)+(L8*(1-0.181))</f>
        <v>0.32023763356826318</v>
      </c>
    </row>
    <row r="52" spans="2:12" ht="15.75" thickBot="1" x14ac:dyDescent="0.3">
      <c r="B52" s="183" t="s">
        <v>203</v>
      </c>
      <c r="C52" s="179">
        <v>0.50366469999999997</v>
      </c>
      <c r="D52" s="179">
        <v>0.49465619999999999</v>
      </c>
      <c r="E52" s="179">
        <v>0.4935216</v>
      </c>
      <c r="F52" s="179">
        <v>0.48596300000000003</v>
      </c>
      <c r="G52" s="179">
        <v>0.47959606137553967</v>
      </c>
      <c r="H52" s="195">
        <v>0.47359714743451325</v>
      </c>
      <c r="I52" s="179">
        <v>0.4884997848016755</v>
      </c>
      <c r="K52" s="194" t="s">
        <v>202</v>
      </c>
      <c r="L52" s="193">
        <f>(L30*0.181)+(L9*(1-0.181))</f>
        <v>4.4628609155954534E-2</v>
      </c>
    </row>
    <row r="53" spans="2:12" x14ac:dyDescent="0.25">
      <c r="B53" s="183" t="s">
        <v>227</v>
      </c>
      <c r="C53" s="188">
        <v>1.4045926214126498</v>
      </c>
      <c r="D53" s="188">
        <v>1.392386641489002</v>
      </c>
      <c r="E53" s="188">
        <v>1.3977093704233419</v>
      </c>
      <c r="F53" s="188">
        <v>1.3977093704233419</v>
      </c>
      <c r="G53" s="188">
        <v>1.3964609781435715</v>
      </c>
      <c r="H53" s="189">
        <v>1.3972938426593584</v>
      </c>
      <c r="I53" s="188">
        <v>1.3976921374252109</v>
      </c>
      <c r="L53" s="180"/>
    </row>
    <row r="54" spans="2:12" x14ac:dyDescent="0.25">
      <c r="B54" s="183" t="s">
        <v>206</v>
      </c>
      <c r="C54" s="188">
        <v>0.72518300000000002</v>
      </c>
      <c r="D54" s="188">
        <v>0.71315300000000004</v>
      </c>
      <c r="E54" s="188">
        <v>0.70938999999999997</v>
      </c>
      <c r="F54" s="188">
        <v>0.69938999999999996</v>
      </c>
      <c r="G54" s="188">
        <v>0.68369079283674616</v>
      </c>
      <c r="H54" s="189">
        <v>0.68725181196507368</v>
      </c>
      <c r="I54" s="188">
        <v>0.70300976746696986</v>
      </c>
    </row>
    <row r="55" spans="2:12" x14ac:dyDescent="0.25">
      <c r="B55" s="183" t="s">
        <v>208</v>
      </c>
      <c r="C55" s="188">
        <v>1.7563820000000001</v>
      </c>
      <c r="D55" s="188">
        <v>1.748057</v>
      </c>
      <c r="E55" s="188">
        <v>1.7361960000000001</v>
      </c>
      <c r="F55" s="188">
        <v>1.7280740000000001</v>
      </c>
      <c r="G55" s="188">
        <v>1.7286282608876589</v>
      </c>
      <c r="H55" s="189">
        <v>1.7391797991484366</v>
      </c>
      <c r="I55" s="188">
        <v>1.7394195100060159</v>
      </c>
    </row>
    <row r="56" spans="2:12" ht="15.75" thickBot="1" x14ac:dyDescent="0.3">
      <c r="B56" s="183" t="s">
        <v>205</v>
      </c>
      <c r="C56" s="188">
        <v>0.27493900000000004</v>
      </c>
      <c r="D56" s="188">
        <v>0.28248400000000001</v>
      </c>
      <c r="E56" s="188">
        <v>0.27436600000000005</v>
      </c>
      <c r="F56" s="188">
        <v>0.25436600000000004</v>
      </c>
      <c r="G56" s="188">
        <v>0.28000000000000003</v>
      </c>
      <c r="H56" s="189">
        <v>0.28274818803492618</v>
      </c>
      <c r="I56" s="188">
        <v>0.27481719800582111</v>
      </c>
      <c r="K56" s="192">
        <v>45658</v>
      </c>
    </row>
    <row r="57" spans="2:12" x14ac:dyDescent="0.25">
      <c r="B57" s="183" t="s">
        <v>207</v>
      </c>
      <c r="C57" s="188">
        <v>0.83119900000000002</v>
      </c>
      <c r="D57" s="188">
        <v>0.84866200000000003</v>
      </c>
      <c r="E57" s="188">
        <v>0.85680600000000007</v>
      </c>
      <c r="F57" s="188">
        <v>0.86056200000000005</v>
      </c>
      <c r="G57" s="188">
        <v>0.88940127879579389</v>
      </c>
      <c r="H57" s="189">
        <v>0.89830208120082577</v>
      </c>
      <c r="I57" s="188">
        <v>0.86415539333277003</v>
      </c>
      <c r="K57" s="191" t="s">
        <v>198</v>
      </c>
      <c r="L57" s="190">
        <v>0.63523147716275907</v>
      </c>
    </row>
    <row r="58" spans="2:12" x14ac:dyDescent="0.25">
      <c r="B58" s="183" t="s">
        <v>209</v>
      </c>
      <c r="C58" s="188">
        <v>0.69794699999999998</v>
      </c>
      <c r="D58" s="188">
        <v>0.71242000000000005</v>
      </c>
      <c r="E58" s="188">
        <v>0.71244000000000007</v>
      </c>
      <c r="F58" s="188">
        <v>0.72244000000000008</v>
      </c>
      <c r="G58" s="188">
        <v>0.73678286446928576</v>
      </c>
      <c r="H58" s="189">
        <v>0.73555389316589959</v>
      </c>
      <c r="I58" s="188">
        <v>0.71959729293919761</v>
      </c>
      <c r="K58" s="187" t="s">
        <v>200</v>
      </c>
      <c r="L58" s="186">
        <v>0.3202708060743818</v>
      </c>
    </row>
    <row r="59" spans="2:12" ht="15.75" thickBot="1" x14ac:dyDescent="0.3">
      <c r="B59" s="183" t="s">
        <v>210</v>
      </c>
      <c r="C59" s="181">
        <v>2511.9900000000002</v>
      </c>
      <c r="D59" s="181">
        <v>2748.76</v>
      </c>
      <c r="E59" s="181">
        <v>3127.5699999999997</v>
      </c>
      <c r="F59" s="181">
        <v>3687.1099999999997</v>
      </c>
      <c r="G59" s="181">
        <v>3312.65</v>
      </c>
      <c r="H59" s="182">
        <v>3106.57</v>
      </c>
      <c r="I59" s="181">
        <v>3082.4416666666671</v>
      </c>
      <c r="K59" s="185" t="s">
        <v>202</v>
      </c>
      <c r="L59" s="184">
        <v>4.4497717663835069E-2</v>
      </c>
    </row>
    <row r="60" spans="2:12" x14ac:dyDescent="0.25">
      <c r="B60" s="183" t="s">
        <v>211</v>
      </c>
      <c r="C60" s="181">
        <v>1250.33</v>
      </c>
      <c r="D60" s="181">
        <v>1399.23</v>
      </c>
      <c r="E60" s="181">
        <v>1595.92</v>
      </c>
      <c r="F60" s="181">
        <v>1887.82</v>
      </c>
      <c r="G60" s="181">
        <v>1735.07</v>
      </c>
      <c r="H60" s="182">
        <v>1632.78</v>
      </c>
      <c r="I60" s="181">
        <v>1583.5249999999999</v>
      </c>
      <c r="L60" s="180"/>
    </row>
    <row r="67" spans="9:9" x14ac:dyDescent="0.25">
      <c r="I67" s="179"/>
    </row>
  </sheetData>
  <mergeCells count="2">
    <mergeCell ref="H46:I46"/>
    <mergeCell ref="H26:I26"/>
  </mergeCells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54A7-BE9E-4FBF-A997-A23F74E8F561}">
  <sheetPr codeName="Sheet10">
    <tabColor theme="1"/>
  </sheetPr>
  <dimension ref="B2:T46"/>
  <sheetViews>
    <sheetView showGridLines="0" workbookViewId="0">
      <selection activeCell="E44" sqref="E44"/>
    </sheetView>
  </sheetViews>
  <sheetFormatPr defaultRowHeight="15" x14ac:dyDescent="0.25"/>
  <cols>
    <col min="2" max="2" width="29.28515625" customWidth="1"/>
    <col min="3" max="3" width="14.85546875" bestFit="1" customWidth="1"/>
    <col min="4" max="4" width="12.140625" bestFit="1" customWidth="1"/>
    <col min="5" max="5" width="13.28515625" bestFit="1" customWidth="1"/>
    <col min="6" max="7" width="12.140625" bestFit="1" customWidth="1"/>
    <col min="9" max="9" width="41.140625" bestFit="1" customWidth="1"/>
    <col min="10" max="10" width="10" bestFit="1" customWidth="1"/>
    <col min="11" max="11" width="9.28515625" bestFit="1" customWidth="1"/>
    <col min="12" max="13" width="9.5703125" bestFit="1" customWidth="1"/>
    <col min="14" max="14" width="9.28515625" bestFit="1" customWidth="1"/>
    <col min="15" max="15" width="11" bestFit="1" customWidth="1"/>
    <col min="16" max="16" width="14.5703125" bestFit="1" customWidth="1"/>
  </cols>
  <sheetData>
    <row r="2" spans="2:20" x14ac:dyDescent="0.25">
      <c r="C2" t="s">
        <v>228</v>
      </c>
      <c r="D2" t="s">
        <v>229</v>
      </c>
      <c r="E2" t="s">
        <v>230</v>
      </c>
      <c r="F2" t="s">
        <v>123</v>
      </c>
      <c r="G2" t="s">
        <v>10</v>
      </c>
      <c r="I2" s="178" t="s">
        <v>188</v>
      </c>
      <c r="J2" s="178" t="s">
        <v>189</v>
      </c>
      <c r="K2" s="178"/>
      <c r="L2" s="178"/>
      <c r="M2" s="178"/>
      <c r="N2" s="178"/>
      <c r="O2" s="178"/>
      <c r="P2" s="178"/>
    </row>
    <row r="3" spans="2:20" x14ac:dyDescent="0.25">
      <c r="B3" s="178"/>
      <c r="I3" s="178" t="s">
        <v>181</v>
      </c>
      <c r="J3" s="237" t="s">
        <v>190</v>
      </c>
      <c r="K3" s="237" t="s">
        <v>191</v>
      </c>
      <c r="L3" s="237" t="s">
        <v>192</v>
      </c>
      <c r="M3" s="237" t="s">
        <v>193</v>
      </c>
      <c r="N3" s="237" t="s">
        <v>194</v>
      </c>
      <c r="O3" s="237" t="s">
        <v>195</v>
      </c>
      <c r="P3" s="237" t="s">
        <v>196</v>
      </c>
      <c r="Q3" s="178"/>
      <c r="R3" s="178"/>
      <c r="S3" s="178"/>
      <c r="T3" s="178"/>
    </row>
    <row r="4" spans="2:20" ht="15.75" thickBot="1" x14ac:dyDescent="0.3">
      <c r="B4" s="178"/>
      <c r="Q4" s="178"/>
      <c r="R4" s="192">
        <v>45712</v>
      </c>
      <c r="S4" s="178"/>
      <c r="T4" s="178"/>
    </row>
    <row r="5" spans="2:20" x14ac:dyDescent="0.25">
      <c r="B5" s="183" t="s">
        <v>197</v>
      </c>
      <c r="C5" s="240">
        <v>1278</v>
      </c>
      <c r="D5" s="69">
        <f>O5-C5</f>
        <v>322</v>
      </c>
      <c r="E5" s="240">
        <f>C5+D5</f>
        <v>1600</v>
      </c>
      <c r="F5" s="240">
        <v>265</v>
      </c>
      <c r="G5" s="250">
        <f>E5+F5</f>
        <v>1865</v>
      </c>
      <c r="I5" s="183" t="s">
        <v>197</v>
      </c>
      <c r="J5" s="219">
        <v>1194</v>
      </c>
      <c r="K5" s="219">
        <v>1243</v>
      </c>
      <c r="L5" s="219">
        <v>1363</v>
      </c>
      <c r="M5" s="219">
        <v>1409</v>
      </c>
      <c r="N5" s="219">
        <v>1433</v>
      </c>
      <c r="O5" s="220">
        <v>1600</v>
      </c>
      <c r="P5" s="236">
        <v>1373.6666666666667</v>
      </c>
      <c r="Q5" s="178"/>
      <c r="R5" s="203" t="s">
        <v>198</v>
      </c>
      <c r="S5" s="202">
        <v>0.63008029081883399</v>
      </c>
      <c r="T5" s="221"/>
    </row>
    <row r="6" spans="2:20" x14ac:dyDescent="0.25">
      <c r="B6" s="183" t="s">
        <v>199</v>
      </c>
      <c r="C6" s="69">
        <f>'GP Summary'!AH44</f>
        <v>145615141.97000006</v>
      </c>
      <c r="D6" s="69">
        <f>O6-C6</f>
        <v>34093858.029999942</v>
      </c>
      <c r="E6" s="69">
        <f>C6+D6</f>
        <v>179709000</v>
      </c>
      <c r="F6" s="69">
        <v>39795000</v>
      </c>
      <c r="G6" s="250">
        <f t="shared" ref="G6:G36" si="0">E6+F6</f>
        <v>219504000</v>
      </c>
      <c r="I6" s="183" t="s">
        <v>199</v>
      </c>
      <c r="J6" s="219">
        <v>148532</v>
      </c>
      <c r="K6" s="219">
        <v>158653</v>
      </c>
      <c r="L6" s="219">
        <v>179960</v>
      </c>
      <c r="M6" s="219">
        <v>212843</v>
      </c>
      <c r="N6" s="219">
        <v>191975</v>
      </c>
      <c r="O6" s="220">
        <v>179709000</v>
      </c>
      <c r="P6" s="219">
        <v>178612</v>
      </c>
      <c r="Q6" s="178"/>
      <c r="R6" s="197" t="s">
        <v>200</v>
      </c>
      <c r="S6" s="222">
        <v>0.31852214110899052</v>
      </c>
      <c r="T6" s="221"/>
    </row>
    <row r="7" spans="2:20" x14ac:dyDescent="0.25">
      <c r="B7" s="183" t="s">
        <v>231</v>
      </c>
      <c r="C7" s="69">
        <f>C6/C5</f>
        <v>113939.86069640068</v>
      </c>
      <c r="D7" s="69">
        <f>D6/D5</f>
        <v>105881.54667701846</v>
      </c>
      <c r="E7" s="69">
        <f>E6/E5</f>
        <v>112318.125</v>
      </c>
      <c r="F7" s="69">
        <f>F6/F5</f>
        <v>150169.81132075473</v>
      </c>
      <c r="G7" s="69">
        <f>G6/G5</f>
        <v>117696.5147453083</v>
      </c>
      <c r="I7" s="183"/>
      <c r="J7" s="219"/>
      <c r="K7" s="219"/>
      <c r="L7" s="219"/>
      <c r="M7" s="219"/>
      <c r="N7" s="219"/>
      <c r="O7" s="220"/>
      <c r="P7" s="219"/>
      <c r="Q7" s="178"/>
      <c r="R7" s="197"/>
      <c r="S7" s="222"/>
      <c r="T7" s="221"/>
    </row>
    <row r="8" spans="2:20" x14ac:dyDescent="0.25">
      <c r="B8" s="183" t="s">
        <v>232</v>
      </c>
      <c r="C8" s="69">
        <f>C6/C9</f>
        <v>4123906.5978476368</v>
      </c>
      <c r="D8" s="69">
        <f>D6/D9</f>
        <v>1161234.9465258836</v>
      </c>
      <c r="E8" s="69">
        <f>E6/E9</f>
        <v>5348482.1428571427</v>
      </c>
      <c r="F8" s="69">
        <f>F6/F9</f>
        <v>1289533.3765392094</v>
      </c>
      <c r="G8" s="250">
        <f>E8+F8</f>
        <v>6638015.5193963517</v>
      </c>
      <c r="I8" s="183"/>
      <c r="J8" s="219"/>
      <c r="K8" s="219"/>
      <c r="L8" s="219"/>
      <c r="M8" s="219"/>
      <c r="N8" s="219"/>
      <c r="O8" s="220"/>
      <c r="P8" s="219"/>
      <c r="Q8" s="178"/>
      <c r="R8" s="197"/>
      <c r="S8" s="222"/>
      <c r="T8" s="221"/>
    </row>
    <row r="9" spans="2:20" ht="15.75" thickBot="1" x14ac:dyDescent="0.3">
      <c r="B9" s="183" t="s">
        <v>201</v>
      </c>
      <c r="C9" s="148">
        <v>35.31</v>
      </c>
      <c r="D9" s="148">
        <v>29.36</v>
      </c>
      <c r="E9" s="148">
        <f>O9</f>
        <v>33.6</v>
      </c>
      <c r="F9" s="148">
        <v>30.86</v>
      </c>
      <c r="G9" s="148">
        <f>G6/G8</f>
        <v>33.067714192382795</v>
      </c>
      <c r="I9" s="183" t="s">
        <v>201</v>
      </c>
      <c r="J9" s="233">
        <v>32.68</v>
      </c>
      <c r="K9" s="233">
        <v>32.33</v>
      </c>
      <c r="L9" s="233">
        <v>34</v>
      </c>
      <c r="M9" s="233">
        <v>38.200000000000003</v>
      </c>
      <c r="N9" s="235">
        <v>35.31</v>
      </c>
      <c r="O9" s="234">
        <v>33.6</v>
      </c>
      <c r="P9" s="233">
        <v>34.353333333333332</v>
      </c>
      <c r="Q9" s="178"/>
      <c r="R9" s="194" t="s">
        <v>202</v>
      </c>
      <c r="S9" s="232">
        <v>5.1397569176989663E-2</v>
      </c>
      <c r="T9" s="231"/>
    </row>
    <row r="10" spans="2:20" x14ac:dyDescent="0.25">
      <c r="G10" s="250">
        <f t="shared" si="0"/>
        <v>0</v>
      </c>
      <c r="Q10" s="178"/>
      <c r="R10" s="178"/>
      <c r="S10" s="180"/>
      <c r="T10" s="178"/>
    </row>
    <row r="11" spans="2:20" x14ac:dyDescent="0.25">
      <c r="B11" s="183" t="s">
        <v>210</v>
      </c>
      <c r="C11" s="69">
        <f>'MSF By Card'!K24</f>
        <v>2113318.6818181812</v>
      </c>
      <c r="D11" s="71">
        <f>2612000-C11</f>
        <v>498681.31818181882</v>
      </c>
      <c r="E11" s="71">
        <f>C11+D11</f>
        <v>2612000</v>
      </c>
      <c r="F11" s="69">
        <v>495000</v>
      </c>
      <c r="G11" s="250">
        <f t="shared" si="0"/>
        <v>3107000</v>
      </c>
      <c r="I11" s="183" t="s">
        <v>210</v>
      </c>
      <c r="J11" s="219">
        <v>2135.69</v>
      </c>
      <c r="K11" s="219">
        <v>2292.36</v>
      </c>
      <c r="L11" s="219">
        <v>2612.87</v>
      </c>
      <c r="M11" s="219">
        <v>3086.31</v>
      </c>
      <c r="N11" s="219">
        <v>2775.15</v>
      </c>
      <c r="O11" s="220">
        <v>2612.0700000000002</v>
      </c>
      <c r="P11" s="219">
        <v>2585.7416666666663</v>
      </c>
      <c r="T11" s="178"/>
    </row>
    <row r="12" spans="2:20" x14ac:dyDescent="0.25">
      <c r="B12" s="183" t="s">
        <v>211</v>
      </c>
      <c r="C12" s="69">
        <f>'COA by Card'!K34</f>
        <v>1143195.42</v>
      </c>
      <c r="D12" s="71">
        <f>1403000-C12</f>
        <v>259804.58000000007</v>
      </c>
      <c r="E12" s="71">
        <f>C12+D12</f>
        <v>1403000</v>
      </c>
      <c r="F12" s="69">
        <v>230000</v>
      </c>
      <c r="G12" s="250">
        <f t="shared" si="0"/>
        <v>1633000</v>
      </c>
      <c r="I12" s="183" t="s">
        <v>211</v>
      </c>
      <c r="J12" s="219">
        <v>1089.03</v>
      </c>
      <c r="K12" s="219">
        <v>1197.73</v>
      </c>
      <c r="L12" s="219">
        <v>1365.42</v>
      </c>
      <c r="M12" s="219">
        <v>1620.52</v>
      </c>
      <c r="N12" s="219">
        <v>1478.07</v>
      </c>
      <c r="O12" s="220">
        <v>1402.58</v>
      </c>
      <c r="P12" s="219">
        <v>1358.8916666666667</v>
      </c>
      <c r="T12" s="178"/>
    </row>
    <row r="13" spans="2:20" x14ac:dyDescent="0.25">
      <c r="B13" s="183" t="s">
        <v>233</v>
      </c>
      <c r="C13" s="71">
        <f>C11-C12</f>
        <v>970123.26181818126</v>
      </c>
      <c r="D13" s="71">
        <f>D11-D12</f>
        <v>238876.73818181874</v>
      </c>
      <c r="E13" s="71">
        <f>C13+D13</f>
        <v>1209000</v>
      </c>
      <c r="F13" s="71">
        <f>F11-F12</f>
        <v>265000</v>
      </c>
      <c r="G13" s="250">
        <f t="shared" si="0"/>
        <v>1474000</v>
      </c>
      <c r="I13" s="183" t="s">
        <v>234</v>
      </c>
      <c r="J13" s="242">
        <f>J11-J12</f>
        <v>1046.6600000000001</v>
      </c>
      <c r="K13" s="242">
        <f t="shared" ref="K13:P13" si="1">K11-K12</f>
        <v>1094.6300000000001</v>
      </c>
      <c r="L13" s="242">
        <f t="shared" si="1"/>
        <v>1247.4499999999998</v>
      </c>
      <c r="M13" s="242">
        <f t="shared" si="1"/>
        <v>1465.79</v>
      </c>
      <c r="N13" s="242">
        <f t="shared" si="1"/>
        <v>1297.0800000000002</v>
      </c>
      <c r="O13" s="243">
        <f t="shared" si="1"/>
        <v>1209.4900000000002</v>
      </c>
      <c r="P13" s="242">
        <f t="shared" si="1"/>
        <v>1226.8499999999997</v>
      </c>
      <c r="Q13" s="178"/>
      <c r="R13" s="178"/>
      <c r="S13" s="178"/>
      <c r="T13" s="178"/>
    </row>
    <row r="14" spans="2:20" x14ac:dyDescent="0.25">
      <c r="B14" s="183" t="s">
        <v>203</v>
      </c>
      <c r="C14" s="3">
        <v>0.51470000000000005</v>
      </c>
      <c r="D14" s="3">
        <f>D13/D11</f>
        <v>0.47901681790037393</v>
      </c>
      <c r="E14" s="241">
        <f>E13/E11</f>
        <v>0.46286370597243492</v>
      </c>
      <c r="F14" s="3">
        <v>0.54</v>
      </c>
      <c r="G14" s="250">
        <f t="shared" si="0"/>
        <v>1.002863705972435</v>
      </c>
      <c r="I14" s="183" t="s">
        <v>203</v>
      </c>
      <c r="J14" s="213">
        <v>0.49</v>
      </c>
      <c r="K14" s="213">
        <v>0.48</v>
      </c>
      <c r="L14" s="213">
        <v>0.48</v>
      </c>
      <c r="M14" s="213">
        <v>0.47</v>
      </c>
      <c r="N14" s="213">
        <v>0.47</v>
      </c>
      <c r="O14" s="214">
        <v>0.46</v>
      </c>
      <c r="P14" s="213">
        <v>0.47499999999999992</v>
      </c>
      <c r="Q14" s="178"/>
      <c r="R14" s="192"/>
      <c r="S14" s="178"/>
      <c r="T14" s="178"/>
    </row>
    <row r="15" spans="2:20" x14ac:dyDescent="0.25">
      <c r="G15" s="250">
        <f t="shared" si="0"/>
        <v>0</v>
      </c>
      <c r="Q15" s="178"/>
      <c r="R15" s="228"/>
      <c r="S15" s="188"/>
      <c r="T15" s="178"/>
    </row>
    <row r="16" spans="2:20" x14ac:dyDescent="0.25">
      <c r="B16" s="183" t="s">
        <v>204</v>
      </c>
      <c r="C16" s="163">
        <f>C11/C6*10000</f>
        <v>145.13042072599646</v>
      </c>
      <c r="D16" s="163">
        <f>D11/D6*10000</f>
        <v>146.26720089671812</v>
      </c>
      <c r="E16" s="163">
        <f>E11/E6*10000</f>
        <v>145.34608728555608</v>
      </c>
      <c r="F16" s="163">
        <f>F11/F6*10000</f>
        <v>124.38748586505842</v>
      </c>
      <c r="G16" s="250">
        <f t="shared" si="0"/>
        <v>269.73357315061452</v>
      </c>
      <c r="I16" s="183" t="s">
        <v>204</v>
      </c>
      <c r="J16" s="229">
        <v>1.44</v>
      </c>
      <c r="K16" s="229">
        <v>1.44</v>
      </c>
      <c r="L16" s="229">
        <v>1.45</v>
      </c>
      <c r="M16" s="229">
        <v>1.45</v>
      </c>
      <c r="N16" s="229">
        <v>1.45</v>
      </c>
      <c r="O16" s="230">
        <v>1.45</v>
      </c>
      <c r="P16" s="229">
        <v>1.4466666666666665</v>
      </c>
      <c r="Q16" s="178"/>
      <c r="R16" s="178"/>
      <c r="S16" s="178"/>
      <c r="T16" s="178"/>
    </row>
    <row r="17" spans="2:20" ht="15.75" thickBot="1" x14ac:dyDescent="0.3">
      <c r="B17" s="183" t="s">
        <v>209</v>
      </c>
      <c r="C17" s="163">
        <f>'GP Summary'!AH46*10000</f>
        <v>78.508004355448378</v>
      </c>
      <c r="D17" s="163">
        <f>D12/D6*10000</f>
        <v>76.202751759977488</v>
      </c>
      <c r="E17" s="163">
        <f>E12/E6*10000</f>
        <v>78.070658675970591</v>
      </c>
      <c r="F17" s="163">
        <f>F12/F6*10000</f>
        <v>57.79620555346149</v>
      </c>
      <c r="G17" s="250">
        <f t="shared" si="0"/>
        <v>135.86686422943208</v>
      </c>
      <c r="I17" s="183" t="s">
        <v>209</v>
      </c>
      <c r="J17" s="224">
        <v>0.73</v>
      </c>
      <c r="K17" s="224">
        <v>0.75</v>
      </c>
      <c r="L17" s="224">
        <v>0.75</v>
      </c>
      <c r="M17" s="224">
        <v>0.76</v>
      </c>
      <c r="N17" s="224">
        <v>0.77</v>
      </c>
      <c r="O17" s="225">
        <v>0.77</v>
      </c>
      <c r="P17" s="224">
        <v>0.755</v>
      </c>
      <c r="Q17" s="178"/>
      <c r="R17" s="192">
        <v>45681</v>
      </c>
      <c r="S17" s="178"/>
      <c r="T17" s="221"/>
    </row>
    <row r="18" spans="2:20" x14ac:dyDescent="0.25">
      <c r="B18" s="244" t="s">
        <v>206</v>
      </c>
      <c r="C18" s="714">
        <f>C16-C17</f>
        <v>66.622416370548081</v>
      </c>
      <c r="D18" s="715">
        <f>D13/D6*10000</f>
        <v>70.064449136740635</v>
      </c>
      <c r="E18" s="715">
        <f>E13/E6*10000</f>
        <v>67.275428609585504</v>
      </c>
      <c r="F18" s="714">
        <f>F16-F17</f>
        <v>66.591280311596933</v>
      </c>
      <c r="G18" s="250">
        <f t="shared" si="0"/>
        <v>133.86670892118244</v>
      </c>
      <c r="I18" s="183" t="s">
        <v>206</v>
      </c>
      <c r="J18" s="224">
        <v>0.71</v>
      </c>
      <c r="K18" s="224">
        <v>0.7</v>
      </c>
      <c r="L18" s="224">
        <v>0.7</v>
      </c>
      <c r="M18" s="224">
        <v>0.69</v>
      </c>
      <c r="N18" s="224">
        <v>0.68</v>
      </c>
      <c r="O18" s="225">
        <v>0.68</v>
      </c>
      <c r="P18" s="224">
        <v>0.69333333333333336</v>
      </c>
      <c r="Q18" s="178"/>
      <c r="R18" s="203" t="s">
        <v>198</v>
      </c>
      <c r="S18" s="202">
        <v>0.63600000000000001</v>
      </c>
      <c r="T18" s="178"/>
    </row>
    <row r="19" spans="2:20" x14ac:dyDescent="0.25">
      <c r="G19" s="250">
        <f t="shared" si="0"/>
        <v>0</v>
      </c>
      <c r="Q19" s="178"/>
      <c r="R19" s="197" t="s">
        <v>200</v>
      </c>
      <c r="S19" s="222">
        <v>0.31900000000000001</v>
      </c>
      <c r="T19" s="178"/>
    </row>
    <row r="20" spans="2:20" ht="15.75" thickBot="1" x14ac:dyDescent="0.3">
      <c r="B20" s="183" t="s">
        <v>235</v>
      </c>
      <c r="C20" s="69">
        <f>'GP Summary'!D44</f>
        <v>46435674.090000018</v>
      </c>
      <c r="D20" s="71">
        <f>E20-C20</f>
        <v>10805621.366555557</v>
      </c>
      <c r="E20" s="69">
        <f>S6*E6</f>
        <v>57241295.456555575</v>
      </c>
      <c r="G20" s="250">
        <f t="shared" si="0"/>
        <v>57241295.456555575</v>
      </c>
      <c r="I20" s="183" t="s">
        <v>205</v>
      </c>
      <c r="J20" s="224">
        <v>0.28000000000000003</v>
      </c>
      <c r="K20" s="224">
        <v>0.28999999999999998</v>
      </c>
      <c r="L20" s="224">
        <v>0.28000000000000003</v>
      </c>
      <c r="M20" s="224">
        <v>0.26</v>
      </c>
      <c r="N20" s="224">
        <v>0.28000000000000003</v>
      </c>
      <c r="O20" s="225">
        <v>0.28999999999999998</v>
      </c>
      <c r="P20" s="224">
        <v>0.28000000000000003</v>
      </c>
      <c r="Q20" s="178"/>
      <c r="R20" s="194" t="s">
        <v>202</v>
      </c>
      <c r="S20" s="184">
        <v>4.4999999999999998E-2</v>
      </c>
      <c r="T20" s="178"/>
    </row>
    <row r="21" spans="2:20" x14ac:dyDescent="0.25">
      <c r="B21" s="183" t="s">
        <v>236</v>
      </c>
      <c r="C21" s="69">
        <f>'GP Summary'!D45</f>
        <v>663995.53636363626</v>
      </c>
      <c r="D21" s="71">
        <f>E21-C21</f>
        <v>169232.46363636374</v>
      </c>
      <c r="E21" s="71">
        <f>E22*E11</f>
        <v>833228</v>
      </c>
      <c r="G21" s="250">
        <f t="shared" si="0"/>
        <v>833228</v>
      </c>
      <c r="I21" s="183" t="s">
        <v>207</v>
      </c>
      <c r="J21" s="224">
        <v>0.87</v>
      </c>
      <c r="K21" s="224">
        <v>0.89</v>
      </c>
      <c r="L21" s="224">
        <v>0.9</v>
      </c>
      <c r="M21" s="188">
        <v>0.9</v>
      </c>
      <c r="N21" s="226">
        <v>0.93</v>
      </c>
      <c r="O21" s="225">
        <v>0.94</v>
      </c>
      <c r="P21" s="224">
        <v>0.90499999999999992</v>
      </c>
      <c r="Q21" s="178"/>
      <c r="R21" s="178"/>
      <c r="S21" s="180"/>
    </row>
    <row r="22" spans="2:20" x14ac:dyDescent="0.25">
      <c r="B22" s="183" t="s">
        <v>237</v>
      </c>
      <c r="C22" s="3">
        <f>C21/C11</f>
        <v>0.31419564975045394</v>
      </c>
      <c r="D22" s="3">
        <f>D21/D11</f>
        <v>0.33935994284562654</v>
      </c>
      <c r="E22" s="241">
        <v>0.31900000000000001</v>
      </c>
      <c r="G22" s="250">
        <f t="shared" si="0"/>
        <v>0.31900000000000001</v>
      </c>
      <c r="I22" s="183" t="s">
        <v>208</v>
      </c>
      <c r="J22" s="224">
        <v>1.78</v>
      </c>
      <c r="K22" s="224">
        <v>1.78</v>
      </c>
      <c r="L22" s="224">
        <v>1.77</v>
      </c>
      <c r="M22" s="224">
        <v>1.76</v>
      </c>
      <c r="N22" s="224">
        <v>1.76</v>
      </c>
      <c r="O22" s="225">
        <v>1.77</v>
      </c>
      <c r="P22" s="224">
        <v>1.7699999999999998</v>
      </c>
      <c r="Q22" s="178"/>
      <c r="R22" s="178"/>
      <c r="S22" s="180"/>
    </row>
    <row r="23" spans="2:20" x14ac:dyDescent="0.25">
      <c r="G23" s="250">
        <f t="shared" si="0"/>
        <v>0</v>
      </c>
    </row>
    <row r="24" spans="2:20" x14ac:dyDescent="0.25">
      <c r="B24" s="183" t="s">
        <v>238</v>
      </c>
      <c r="C24" s="69">
        <f>'GP Summary'!D46</f>
        <v>133087.70000000001</v>
      </c>
      <c r="D24" s="71">
        <f>E24-C24</f>
        <v>32912.056824011146</v>
      </c>
      <c r="E24" s="683">
        <f>0.29*E20/100</f>
        <v>165999.75682401116</v>
      </c>
      <c r="G24" s="250">
        <f t="shared" si="0"/>
        <v>165999.75682401116</v>
      </c>
    </row>
    <row r="25" spans="2:20" x14ac:dyDescent="0.25">
      <c r="B25" s="183" t="s">
        <v>239</v>
      </c>
      <c r="C25" s="3">
        <f>C24/C12</f>
        <v>0.11641727885858746</v>
      </c>
      <c r="D25" s="3">
        <f t="shared" ref="D25" si="2">D24/D12</f>
        <v>0.12668004861196494</v>
      </c>
      <c r="E25" s="3">
        <f>E24/E12</f>
        <v>0.11831771690948764</v>
      </c>
      <c r="F25" s="3"/>
      <c r="G25" s="250">
        <f t="shared" si="0"/>
        <v>0.11831771690948764</v>
      </c>
      <c r="I25" s="178"/>
      <c r="J25" s="178"/>
      <c r="K25" s="178"/>
      <c r="L25" s="178"/>
      <c r="M25" s="178"/>
      <c r="N25" s="178"/>
      <c r="O25" s="219"/>
      <c r="P25" s="178"/>
    </row>
    <row r="26" spans="2:20" x14ac:dyDescent="0.25">
      <c r="B26" s="183" t="s">
        <v>205</v>
      </c>
      <c r="C26" s="163">
        <f>C24/C20*10000</f>
        <v>28.660658557912612</v>
      </c>
      <c r="D26" s="163">
        <f t="shared" ref="D26" si="3">D24/D20*10000</f>
        <v>30.458273251991919</v>
      </c>
      <c r="E26" s="163">
        <f>E24/E20*10000</f>
        <v>28.999999999999996</v>
      </c>
      <c r="F26" s="163"/>
      <c r="G26" s="250">
        <f t="shared" si="0"/>
        <v>28.999999999999996</v>
      </c>
      <c r="I26" s="251" t="s">
        <v>185</v>
      </c>
      <c r="J26" s="251" t="s">
        <v>182</v>
      </c>
      <c r="K26" s="251"/>
      <c r="L26" s="251"/>
      <c r="M26" s="251"/>
      <c r="N26" s="251"/>
      <c r="O26" s="251"/>
      <c r="P26" s="251"/>
      <c r="Q26" s="251"/>
      <c r="R26" s="251"/>
      <c r="S26" s="251"/>
    </row>
    <row r="27" spans="2:20" x14ac:dyDescent="0.25">
      <c r="G27" s="250">
        <f t="shared" si="0"/>
        <v>0</v>
      </c>
      <c r="I27" s="251"/>
      <c r="J27" s="251"/>
      <c r="K27" s="251"/>
      <c r="L27" s="251"/>
      <c r="M27" s="251"/>
      <c r="N27" s="251"/>
      <c r="O27" s="854" t="s">
        <v>212</v>
      </c>
      <c r="P27" s="854"/>
      <c r="Q27" s="251"/>
      <c r="R27" s="251"/>
      <c r="S27" s="251"/>
    </row>
    <row r="28" spans="2:20" ht="15.75" thickBot="1" x14ac:dyDescent="0.3">
      <c r="B28" s="245" t="s">
        <v>240</v>
      </c>
      <c r="C28" s="69">
        <v>791148</v>
      </c>
      <c r="D28" s="246"/>
      <c r="E28" s="246"/>
      <c r="G28" s="250">
        <f t="shared" si="0"/>
        <v>0</v>
      </c>
      <c r="I28" s="252" t="s">
        <v>213</v>
      </c>
      <c r="J28" s="253" t="s">
        <v>214</v>
      </c>
      <c r="K28" s="253"/>
      <c r="L28" s="253"/>
      <c r="M28" s="253"/>
      <c r="N28" s="253"/>
      <c r="O28" s="253"/>
      <c r="P28" s="253"/>
      <c r="Q28" s="251"/>
      <c r="R28" s="254">
        <v>45689</v>
      </c>
      <c r="S28" s="251"/>
    </row>
    <row r="29" spans="2:20" x14ac:dyDescent="0.25">
      <c r="B29" s="183" t="s">
        <v>207</v>
      </c>
      <c r="C29" s="163">
        <f>C28/SUM('GP Summary'!E44:J44)*10000</f>
        <v>86.554207336802122</v>
      </c>
      <c r="D29" s="246"/>
      <c r="E29" s="163">
        <v>94</v>
      </c>
      <c r="G29" s="250">
        <f t="shared" si="0"/>
        <v>94</v>
      </c>
      <c r="I29" s="253" t="s">
        <v>181</v>
      </c>
      <c r="J29" s="255">
        <v>45556</v>
      </c>
      <c r="K29" s="255">
        <v>45587</v>
      </c>
      <c r="L29" s="255">
        <v>45619</v>
      </c>
      <c r="M29" s="255">
        <v>45650</v>
      </c>
      <c r="N29" s="255">
        <v>45682</v>
      </c>
      <c r="O29" s="255">
        <v>45713</v>
      </c>
      <c r="P29" s="253" t="s">
        <v>221</v>
      </c>
      <c r="Q29" s="251"/>
      <c r="R29" s="256" t="s">
        <v>198</v>
      </c>
      <c r="S29" s="257">
        <v>0.65800000000000003</v>
      </c>
    </row>
    <row r="30" spans="2:20" x14ac:dyDescent="0.25">
      <c r="G30" s="250">
        <f t="shared" si="0"/>
        <v>0</v>
      </c>
      <c r="I30" s="251" t="s">
        <v>197</v>
      </c>
      <c r="J30" s="251">
        <v>203</v>
      </c>
      <c r="K30" s="251">
        <v>225</v>
      </c>
      <c r="L30" s="251">
        <v>236</v>
      </c>
      <c r="M30" s="251">
        <v>252</v>
      </c>
      <c r="N30" s="251">
        <v>258</v>
      </c>
      <c r="O30" s="258">
        <v>265</v>
      </c>
      <c r="P30" s="251">
        <v>239.83</v>
      </c>
      <c r="Q30" s="251"/>
      <c r="R30" s="259" t="s">
        <v>200</v>
      </c>
      <c r="S30" s="260">
        <v>0.32800000000000001</v>
      </c>
    </row>
    <row r="31" spans="2:20" ht="15.75" thickBot="1" x14ac:dyDescent="0.3">
      <c r="B31" s="245" t="s">
        <v>241</v>
      </c>
      <c r="C31" s="69">
        <f>'GP Summary'!C44</f>
        <v>7773747.9000000004</v>
      </c>
      <c r="D31" s="71">
        <f>E31-C31</f>
        <v>1391411.0999999996</v>
      </c>
      <c r="E31" s="69">
        <f>5.1%*E6</f>
        <v>9165159</v>
      </c>
      <c r="G31" s="250">
        <f t="shared" si="0"/>
        <v>9165159</v>
      </c>
      <c r="I31" s="251" t="s">
        <v>199</v>
      </c>
      <c r="J31" s="261">
        <v>30143</v>
      </c>
      <c r="K31" s="261">
        <v>36703</v>
      </c>
      <c r="L31" s="261">
        <v>41615</v>
      </c>
      <c r="M31" s="261">
        <v>48190</v>
      </c>
      <c r="N31" s="261">
        <v>43444</v>
      </c>
      <c r="O31" s="262">
        <v>39795</v>
      </c>
      <c r="P31" s="261">
        <v>39982</v>
      </c>
      <c r="Q31" s="251"/>
      <c r="R31" s="263" t="s">
        <v>202</v>
      </c>
      <c r="S31" s="264">
        <v>1.4E-2</v>
      </c>
    </row>
    <row r="32" spans="2:20" x14ac:dyDescent="0.25">
      <c r="B32" s="245" t="s">
        <v>242</v>
      </c>
      <c r="C32" s="69">
        <f>'GP Summary'!C45</f>
        <v>120445.7818181818</v>
      </c>
      <c r="D32" s="249"/>
      <c r="E32" s="248"/>
      <c r="G32" s="250">
        <f t="shared" si="0"/>
        <v>0</v>
      </c>
      <c r="I32" s="251" t="s">
        <v>201</v>
      </c>
      <c r="J32" s="265">
        <v>32.1</v>
      </c>
      <c r="K32" s="265">
        <v>31.62</v>
      </c>
      <c r="L32" s="265">
        <v>32.020000000000003</v>
      </c>
      <c r="M32" s="265">
        <v>34.99</v>
      </c>
      <c r="N32" s="266">
        <v>32.869999999999997</v>
      </c>
      <c r="O32" s="267">
        <v>30.86</v>
      </c>
      <c r="P32" s="265">
        <v>32.409999999999997</v>
      </c>
      <c r="Q32" s="251"/>
      <c r="R32" s="269"/>
      <c r="S32" s="268"/>
    </row>
    <row r="33" spans="2:19" x14ac:dyDescent="0.25">
      <c r="B33" s="245" t="s">
        <v>243</v>
      </c>
      <c r="C33" s="3">
        <f>C31/C6</f>
        <v>5.3385573744807145E-2</v>
      </c>
      <c r="D33" s="3">
        <f t="shared" ref="D33:E33" si="4">D31/D6</f>
        <v>4.081119534127426E-2</v>
      </c>
      <c r="E33" s="3">
        <f t="shared" si="4"/>
        <v>5.0999999999999997E-2</v>
      </c>
      <c r="G33" s="250">
        <f t="shared" si="0"/>
        <v>5.0999999999999997E-2</v>
      </c>
      <c r="I33" s="251" t="s">
        <v>203</v>
      </c>
      <c r="J33" s="270">
        <v>0.56999999999999995</v>
      </c>
      <c r="K33" s="270">
        <v>0.56000000000000005</v>
      </c>
      <c r="L33" s="270">
        <v>0.55000000000000004</v>
      </c>
      <c r="M33" s="270">
        <v>0.56000000000000005</v>
      </c>
      <c r="N33" s="270">
        <v>0.52</v>
      </c>
      <c r="O33" s="271">
        <v>0.54</v>
      </c>
      <c r="P33" s="270">
        <v>0.55000000000000004</v>
      </c>
      <c r="Q33" s="251"/>
      <c r="R33" s="251"/>
      <c r="S33" s="251"/>
    </row>
    <row r="34" spans="2:19" x14ac:dyDescent="0.25">
      <c r="B34" s="245"/>
      <c r="C34" s="3"/>
      <c r="D34" s="3"/>
      <c r="E34" s="3"/>
      <c r="G34" s="250">
        <f t="shared" si="0"/>
        <v>0</v>
      </c>
      <c r="I34" s="251" t="s">
        <v>222</v>
      </c>
      <c r="J34" s="251">
        <v>1.34</v>
      </c>
      <c r="K34" s="251">
        <v>1.32</v>
      </c>
      <c r="L34" s="251">
        <v>1.3</v>
      </c>
      <c r="M34" s="251">
        <v>1.3</v>
      </c>
      <c r="N34" s="251">
        <v>1.29</v>
      </c>
      <c r="O34" s="258">
        <v>1.3</v>
      </c>
      <c r="P34" s="251">
        <v>1.31</v>
      </c>
      <c r="Q34" s="251"/>
      <c r="R34" s="251"/>
      <c r="S34" s="251"/>
    </row>
    <row r="35" spans="2:19" ht="15.75" thickBot="1" x14ac:dyDescent="0.3">
      <c r="B35" s="245" t="s">
        <v>244</v>
      </c>
      <c r="C35" s="69">
        <f>'GP Summary'!C46</f>
        <v>131934.40999999997</v>
      </c>
      <c r="D35" s="249">
        <f>E35-C35</f>
        <v>30288.904300000024</v>
      </c>
      <c r="E35" s="248">
        <f>E31*E36/10000</f>
        <v>162223.3143</v>
      </c>
      <c r="G35" s="250">
        <f t="shared" si="0"/>
        <v>162223.3143</v>
      </c>
      <c r="I35" s="251" t="s">
        <v>223</v>
      </c>
      <c r="J35" s="251">
        <v>1</v>
      </c>
      <c r="K35" s="251">
        <v>1</v>
      </c>
      <c r="L35" s="251">
        <v>1</v>
      </c>
      <c r="M35" s="251">
        <v>1</v>
      </c>
      <c r="N35" s="251">
        <v>1</v>
      </c>
      <c r="O35" s="258">
        <v>1</v>
      </c>
      <c r="P35" s="251">
        <v>1</v>
      </c>
      <c r="Q35" s="251"/>
      <c r="R35" s="254">
        <v>45658</v>
      </c>
      <c r="S35" s="251"/>
    </row>
    <row r="36" spans="2:19" x14ac:dyDescent="0.25">
      <c r="B36" s="183" t="s">
        <v>208</v>
      </c>
      <c r="C36" s="163">
        <f>C35/'GP Summary'!C44*10000</f>
        <v>169.71789116032431</v>
      </c>
      <c r="D36" s="247">
        <f>D35/D31*10000</f>
        <v>217.68479710992699</v>
      </c>
      <c r="E36" s="163">
        <v>177</v>
      </c>
      <c r="G36" s="250">
        <f t="shared" si="0"/>
        <v>177</v>
      </c>
      <c r="I36" s="251" t="s">
        <v>206</v>
      </c>
      <c r="J36" s="251">
        <v>0.8</v>
      </c>
      <c r="K36" s="251">
        <v>0.77</v>
      </c>
      <c r="L36" s="251">
        <v>0.75</v>
      </c>
      <c r="M36" s="251">
        <v>0.74</v>
      </c>
      <c r="N36" s="251">
        <v>0.7</v>
      </c>
      <c r="O36" s="258">
        <v>0.72</v>
      </c>
      <c r="P36" s="251">
        <v>0.75</v>
      </c>
      <c r="Q36" s="251"/>
      <c r="R36" s="256" t="s">
        <v>198</v>
      </c>
      <c r="S36" s="257">
        <v>0.66</v>
      </c>
    </row>
    <row r="37" spans="2:19" x14ac:dyDescent="0.25">
      <c r="I37" s="251" t="s">
        <v>208</v>
      </c>
      <c r="J37" s="251">
        <v>1.64</v>
      </c>
      <c r="K37" s="251">
        <v>1.61</v>
      </c>
      <c r="L37" s="251">
        <v>1.59</v>
      </c>
      <c r="M37" s="251">
        <v>1.59</v>
      </c>
      <c r="N37" s="251">
        <v>1.59</v>
      </c>
      <c r="O37" s="258">
        <v>1.6</v>
      </c>
      <c r="P37" s="251">
        <v>1.6</v>
      </c>
      <c r="Q37" s="251"/>
      <c r="R37" s="259" t="s">
        <v>200</v>
      </c>
      <c r="S37" s="260">
        <v>0.32500000000000001</v>
      </c>
    </row>
    <row r="38" spans="2:19" ht="15.75" thickBot="1" x14ac:dyDescent="0.3">
      <c r="I38" s="251" t="s">
        <v>205</v>
      </c>
      <c r="J38" s="251">
        <v>0.25</v>
      </c>
      <c r="K38" s="251">
        <v>0.25</v>
      </c>
      <c r="L38" s="251">
        <v>0.25</v>
      </c>
      <c r="M38" s="251">
        <v>0.23</v>
      </c>
      <c r="N38" s="272">
        <v>0.28000000000000003</v>
      </c>
      <c r="O38" s="273">
        <v>0.25</v>
      </c>
      <c r="P38" s="251">
        <v>0.25</v>
      </c>
      <c r="Q38" s="251"/>
      <c r="R38" s="263" t="s">
        <v>202</v>
      </c>
      <c r="S38" s="264">
        <v>1.4999999999999999E-2</v>
      </c>
    </row>
    <row r="39" spans="2:19" x14ac:dyDescent="0.25">
      <c r="I39" s="251" t="s">
        <v>207</v>
      </c>
      <c r="J39" s="251">
        <v>0.64</v>
      </c>
      <c r="K39" s="251">
        <v>0.67</v>
      </c>
      <c r="L39" s="251">
        <v>0.67</v>
      </c>
      <c r="M39" s="251">
        <v>0.69</v>
      </c>
      <c r="N39" s="251">
        <v>0.71</v>
      </c>
      <c r="O39" s="258">
        <v>0.71</v>
      </c>
      <c r="P39" s="251">
        <v>0.68</v>
      </c>
      <c r="Q39" s="251"/>
      <c r="R39" s="251"/>
      <c r="S39" s="251"/>
    </row>
    <row r="40" spans="2:19" x14ac:dyDescent="0.25">
      <c r="I40" s="251" t="s">
        <v>224</v>
      </c>
      <c r="J40" s="274">
        <v>0.54</v>
      </c>
      <c r="K40" s="251">
        <v>0.55000000000000004</v>
      </c>
      <c r="L40" s="251">
        <v>0.55000000000000004</v>
      </c>
      <c r="M40" s="251">
        <v>0.56000000000000005</v>
      </c>
      <c r="N40" s="251">
        <v>0.59</v>
      </c>
      <c r="O40" s="258">
        <v>0.57999999999999996</v>
      </c>
      <c r="P40" s="251">
        <v>0.56000000000000005</v>
      </c>
      <c r="Q40" s="251"/>
      <c r="R40" s="251"/>
      <c r="S40" s="251"/>
    </row>
    <row r="41" spans="2:19" x14ac:dyDescent="0.25">
      <c r="I41" s="251" t="s">
        <v>210</v>
      </c>
      <c r="J41" s="251">
        <v>376</v>
      </c>
      <c r="K41" s="251">
        <v>456</v>
      </c>
      <c r="L41" s="251">
        <v>515</v>
      </c>
      <c r="M41" s="251">
        <v>601</v>
      </c>
      <c r="N41" s="251">
        <v>538</v>
      </c>
      <c r="O41" s="258">
        <v>495</v>
      </c>
      <c r="P41" s="251">
        <v>497</v>
      </c>
      <c r="Q41" s="251"/>
      <c r="R41" s="251"/>
      <c r="S41" s="251"/>
    </row>
    <row r="42" spans="2:19" x14ac:dyDescent="0.25">
      <c r="I42" s="251" t="s">
        <v>211</v>
      </c>
      <c r="J42" s="251">
        <v>161</v>
      </c>
      <c r="K42" s="251">
        <v>202</v>
      </c>
      <c r="L42" s="251">
        <v>231</v>
      </c>
      <c r="M42" s="251">
        <v>267</v>
      </c>
      <c r="N42" s="251">
        <v>257</v>
      </c>
      <c r="O42" s="258">
        <v>230</v>
      </c>
      <c r="P42" s="251">
        <v>225</v>
      </c>
      <c r="Q42" s="251"/>
      <c r="R42" s="251"/>
      <c r="S42" s="251"/>
    </row>
    <row r="43" spans="2:19" x14ac:dyDescent="0.25"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</row>
    <row r="45" spans="2:19" x14ac:dyDescent="0.25">
      <c r="C45" s="116"/>
      <c r="D45" s="116"/>
      <c r="E45" s="116"/>
      <c r="F45" s="116"/>
    </row>
    <row r="46" spans="2:19" x14ac:dyDescent="0.25">
      <c r="C46" s="3"/>
      <c r="D46" s="3"/>
    </row>
  </sheetData>
  <mergeCells count="1">
    <mergeCell ref="O27:P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F9A76-7100-44E0-B6D8-10B35BB274D4}">
  <sheetPr codeName="Sheet11">
    <tabColor theme="1"/>
  </sheetPr>
  <dimension ref="B3:AU60"/>
  <sheetViews>
    <sheetView workbookViewId="0">
      <selection activeCell="E6" sqref="E6"/>
    </sheetView>
  </sheetViews>
  <sheetFormatPr defaultRowHeight="15" x14ac:dyDescent="0.25"/>
  <cols>
    <col min="2" max="2" width="21.7109375" customWidth="1"/>
    <col min="3" max="3" width="13.5703125" customWidth="1"/>
    <col min="4" max="4" width="13.5703125" style="69" bestFit="1" customWidth="1"/>
    <col min="5" max="5" width="14.5703125" style="240" customWidth="1"/>
    <col min="6" max="6" width="12" bestFit="1" customWidth="1"/>
    <col min="7" max="7" width="9.7109375" bestFit="1" customWidth="1"/>
    <col min="8" max="8" width="11.140625" bestFit="1" customWidth="1"/>
    <col min="9" max="9" width="10.28515625" bestFit="1" customWidth="1"/>
    <col min="10" max="10" width="11" bestFit="1" customWidth="1"/>
    <col min="13" max="13" width="20" bestFit="1" customWidth="1"/>
    <col min="14" max="14" width="9" style="3"/>
    <col min="15" max="15" width="15.5703125" style="69" bestFit="1" customWidth="1"/>
    <col min="16" max="16" width="9" style="163"/>
    <col min="17" max="17" width="13.5703125" style="69" bestFit="1" customWidth="1"/>
    <col min="18" max="18" width="9" style="163"/>
    <col min="19" max="19" width="13.5703125" style="69" bestFit="1" customWidth="1"/>
    <col min="20" max="20" width="9" style="163"/>
    <col min="21" max="21" width="12" style="69" bestFit="1" customWidth="1"/>
    <col min="25" max="25" width="19.28515625" bestFit="1" customWidth="1"/>
    <col min="26" max="26" width="22.28515625" customWidth="1"/>
    <col min="27" max="27" width="13.28515625" bestFit="1" customWidth="1"/>
    <col min="28" max="28" width="10" bestFit="1" customWidth="1"/>
    <col min="29" max="29" width="11.140625" bestFit="1" customWidth="1"/>
    <col min="30" max="30" width="8.85546875" bestFit="1" customWidth="1"/>
    <col min="31" max="31" width="11.140625" bestFit="1" customWidth="1"/>
    <col min="32" max="32" width="7.5703125" bestFit="1" customWidth="1"/>
    <col min="33" max="33" width="9.5703125" bestFit="1" customWidth="1"/>
    <col min="35" max="35" width="13.7109375" bestFit="1" customWidth="1"/>
    <col min="36" max="36" width="20.7109375" customWidth="1"/>
    <col min="37" max="37" width="13.28515625" bestFit="1" customWidth="1"/>
    <col min="38" max="38" width="10" bestFit="1" customWidth="1"/>
    <col min="39" max="39" width="11.140625" bestFit="1" customWidth="1"/>
    <col min="40" max="40" width="8.85546875" bestFit="1" customWidth="1"/>
    <col min="41" max="41" width="11.140625" bestFit="1" customWidth="1"/>
    <col min="42" max="42" width="7.5703125" bestFit="1" customWidth="1"/>
    <col min="43" max="43" width="9.5703125" bestFit="1" customWidth="1"/>
  </cols>
  <sheetData>
    <row r="3" spans="2:43" ht="22.5" customHeight="1" x14ac:dyDescent="0.25">
      <c r="B3" s="280" t="s">
        <v>245</v>
      </c>
      <c r="C3" s="280" t="s">
        <v>246</v>
      </c>
      <c r="D3" s="70"/>
      <c r="M3" t="s">
        <v>245</v>
      </c>
      <c r="N3" s="3" t="s">
        <v>246</v>
      </c>
      <c r="Y3" s="280" t="s">
        <v>247</v>
      </c>
      <c r="Z3" s="280" t="s">
        <v>248</v>
      </c>
      <c r="AA3" s="280"/>
      <c r="AB3" s="280"/>
      <c r="AC3" s="280"/>
      <c r="AD3" s="280"/>
      <c r="AI3" s="280" t="s">
        <v>249</v>
      </c>
      <c r="AJ3" s="280" t="s">
        <v>250</v>
      </c>
    </row>
    <row r="4" spans="2:43" s="278" customFormat="1" ht="22.5" customHeight="1" x14ac:dyDescent="0.25">
      <c r="B4" s="282" t="s">
        <v>251</v>
      </c>
      <c r="C4" s="283" t="s">
        <v>16</v>
      </c>
      <c r="D4" s="284" t="s">
        <v>252</v>
      </c>
      <c r="E4" s="288" t="s">
        <v>253</v>
      </c>
      <c r="F4" s="282" t="s">
        <v>254</v>
      </c>
      <c r="G4" s="283" t="s">
        <v>255</v>
      </c>
      <c r="H4" s="282" t="s">
        <v>87</v>
      </c>
      <c r="I4" s="282" t="s">
        <v>256</v>
      </c>
      <c r="J4" s="282" t="s">
        <v>77</v>
      </c>
      <c r="M4" s="278" t="s">
        <v>251</v>
      </c>
      <c r="N4" s="659" t="s">
        <v>16</v>
      </c>
      <c r="O4" s="461" t="s">
        <v>252</v>
      </c>
      <c r="P4" s="460" t="s">
        <v>253</v>
      </c>
      <c r="Q4" s="461" t="s">
        <v>254</v>
      </c>
      <c r="R4" s="460" t="s">
        <v>255</v>
      </c>
      <c r="S4" s="461" t="s">
        <v>87</v>
      </c>
      <c r="T4" s="460" t="s">
        <v>256</v>
      </c>
      <c r="U4" s="461" t="s">
        <v>77</v>
      </c>
      <c r="Y4" s="282" t="s">
        <v>251</v>
      </c>
      <c r="Z4" s="283" t="s">
        <v>16</v>
      </c>
      <c r="AA4" s="284" t="s">
        <v>252</v>
      </c>
      <c r="AB4" s="288" t="s">
        <v>253</v>
      </c>
      <c r="AC4" s="282" t="s">
        <v>254</v>
      </c>
      <c r="AD4" s="283" t="s">
        <v>255</v>
      </c>
      <c r="AE4" s="282" t="s">
        <v>87</v>
      </c>
      <c r="AF4" s="282" t="s">
        <v>256</v>
      </c>
      <c r="AG4" s="282" t="s">
        <v>77</v>
      </c>
      <c r="AI4" s="282" t="s">
        <v>251</v>
      </c>
      <c r="AJ4" s="283" t="s">
        <v>16</v>
      </c>
      <c r="AK4" s="284" t="s">
        <v>252</v>
      </c>
      <c r="AL4" s="288" t="s">
        <v>253</v>
      </c>
      <c r="AM4" s="282" t="s">
        <v>254</v>
      </c>
      <c r="AN4" s="283" t="s">
        <v>255</v>
      </c>
      <c r="AO4" s="282" t="s">
        <v>87</v>
      </c>
      <c r="AP4" s="282" t="s">
        <v>256</v>
      </c>
      <c r="AQ4" s="282" t="s">
        <v>77</v>
      </c>
    </row>
    <row r="5" spans="2:43" ht="22.5" customHeight="1" x14ac:dyDescent="0.25">
      <c r="AA5" s="69"/>
      <c r="AB5" s="240"/>
      <c r="AK5" s="69"/>
      <c r="AL5" s="240"/>
    </row>
    <row r="6" spans="2:43" ht="22.5" customHeight="1" x14ac:dyDescent="0.25">
      <c r="B6" t="s">
        <v>124</v>
      </c>
      <c r="C6" s="660">
        <f>D6/$D$15</f>
        <v>5.3385868718721363E-2</v>
      </c>
      <c r="D6" s="69">
        <f>'TTV By Card'!C24</f>
        <v>7773747.9000000004</v>
      </c>
      <c r="E6" s="285">
        <f>'GP Summary'!Z45*10000</f>
        <v>154.93914051185246</v>
      </c>
      <c r="F6" s="71">
        <f t="shared" ref="F6:F13" si="0">E6*D6/10000</f>
        <v>120445.7818181818</v>
      </c>
      <c r="G6" s="285">
        <f>'GP Summary'!Z46*10000</f>
        <v>169.71789116032431</v>
      </c>
      <c r="H6" s="71">
        <f t="shared" ref="H6:H13" si="1">G6*D6/10000</f>
        <v>131934.40999999997</v>
      </c>
      <c r="I6" s="286">
        <f>E6-G6</f>
        <v>-14.778750648471856</v>
      </c>
      <c r="J6" s="71">
        <f>F6-H6</f>
        <v>-11488.628181818174</v>
      </c>
      <c r="M6" t="s">
        <v>124</v>
      </c>
      <c r="N6" s="3">
        <v>5.3385868718721363E-2</v>
      </c>
      <c r="O6" s="69">
        <v>7773747.9000000004</v>
      </c>
      <c r="P6" s="163">
        <v>154.93914051185246</v>
      </c>
      <c r="Q6" s="69">
        <v>120445.7818181818</v>
      </c>
      <c r="R6" s="163">
        <v>169.71789116032431</v>
      </c>
      <c r="S6" s="69">
        <v>131934.40999999997</v>
      </c>
      <c r="T6" s="163">
        <v>-14.778750648471856</v>
      </c>
      <c r="U6" s="69">
        <v>-11488.628181818174</v>
      </c>
      <c r="Y6" t="s">
        <v>124</v>
      </c>
      <c r="Z6" s="279">
        <f>AA6/$D$15</f>
        <v>5.3385868718721363E-2</v>
      </c>
      <c r="AA6" s="69">
        <f>D6</f>
        <v>7773747.9000000004</v>
      </c>
      <c r="AB6" s="285">
        <f>AC6/AA6*10000</f>
        <v>154.93914051185246</v>
      </c>
      <c r="AC6" s="71">
        <f>F6</f>
        <v>120445.7818181818</v>
      </c>
      <c r="AD6" s="285">
        <f>AE6/AA6*10000</f>
        <v>169.71789116032431</v>
      </c>
      <c r="AE6" s="71">
        <f>H6</f>
        <v>131934.40999999997</v>
      </c>
      <c r="AF6" s="286">
        <f>AB6-AD6</f>
        <v>-14.778750648471856</v>
      </c>
      <c r="AG6" s="71">
        <f>AC6-AE6</f>
        <v>-11488.628181818174</v>
      </c>
      <c r="AI6" t="s">
        <v>124</v>
      </c>
      <c r="AJ6" s="279">
        <f>AK6/$D$15</f>
        <v>5.3385868718721363E-2</v>
      </c>
      <c r="AK6" s="69">
        <f>D6</f>
        <v>7773747.9000000004</v>
      </c>
      <c r="AL6" s="285">
        <f>AM6/AK6*10000</f>
        <v>154.93914051185246</v>
      </c>
      <c r="AM6" s="71">
        <f>F6</f>
        <v>120445.7818181818</v>
      </c>
      <c r="AN6" s="285">
        <f>AO6/AK6*10000</f>
        <v>169.71789116032431</v>
      </c>
      <c r="AO6" s="71">
        <f>H6</f>
        <v>131934.40999999997</v>
      </c>
      <c r="AP6" s="286">
        <f>AL6-AN6</f>
        <v>-14.778750648471856</v>
      </c>
      <c r="AQ6" s="71">
        <f>AM6-AO6</f>
        <v>-11488.628181818174</v>
      </c>
    </row>
    <row r="7" spans="2:43" ht="22.5" customHeight="1" x14ac:dyDescent="0.25">
      <c r="B7" t="s">
        <v>3</v>
      </c>
      <c r="C7" s="660">
        <f t="shared" ref="C7:C13" si="2">D7/$D$15</f>
        <v>0.31889493108389483</v>
      </c>
      <c r="D7" s="69">
        <f>'TTV By Card'!D24</f>
        <v>46435674.090000018</v>
      </c>
      <c r="E7" s="285">
        <f>'GP Summary'!AA45*10000</f>
        <v>142.99254815956868</v>
      </c>
      <c r="F7" s="71">
        <f t="shared" si="0"/>
        <v>663995.53636363626</v>
      </c>
      <c r="G7" s="285">
        <f>'GP Summary'!AA46*10000</f>
        <v>28.660658557912612</v>
      </c>
      <c r="H7" s="71">
        <f t="shared" si="1"/>
        <v>133087.70000000001</v>
      </c>
      <c r="I7" s="286">
        <f t="shared" ref="I7:I13" si="3">E7-G7</f>
        <v>114.33188960165607</v>
      </c>
      <c r="J7" s="71">
        <f t="shared" ref="J7:J13" si="4">F7-H7</f>
        <v>530907.83636363619</v>
      </c>
      <c r="M7" t="s">
        <v>3</v>
      </c>
      <c r="N7" s="3">
        <v>0.31889493108389483</v>
      </c>
      <c r="O7" s="69">
        <v>46435674.090000018</v>
      </c>
      <c r="P7" s="163">
        <v>142.99254815956868</v>
      </c>
      <c r="Q7" s="69">
        <v>663995.53636363626</v>
      </c>
      <c r="R7" s="163">
        <v>28.660658557912612</v>
      </c>
      <c r="S7" s="69">
        <v>133087.70000000001</v>
      </c>
      <c r="T7" s="163">
        <v>114.33188960165607</v>
      </c>
      <c r="U7" s="69">
        <v>530907.83636363619</v>
      </c>
      <c r="Y7" t="s">
        <v>3</v>
      </c>
      <c r="Z7" s="279">
        <f t="shared" ref="Z7:Z9" si="5">AA7/$D$15</f>
        <v>0.31889493108389483</v>
      </c>
      <c r="AA7" s="69">
        <f>D7</f>
        <v>46435674.090000018</v>
      </c>
      <c r="AB7" s="285">
        <f t="shared" ref="AB7:AB9" si="6">AC7/AA7*10000</f>
        <v>142.99254815956868</v>
      </c>
      <c r="AC7" s="71">
        <f>F7</f>
        <v>663995.53636363626</v>
      </c>
      <c r="AD7" s="285">
        <f t="shared" ref="AD7:AD9" si="7">AE7/AA7*10000</f>
        <v>28.660658557912612</v>
      </c>
      <c r="AE7" s="71">
        <f>H7</f>
        <v>133087.70000000001</v>
      </c>
      <c r="AF7" s="286">
        <f t="shared" ref="AF7:AF9" si="8">AB7-AD7</f>
        <v>114.33188960165607</v>
      </c>
      <c r="AG7" s="71">
        <f t="shared" ref="AG7:AG9" si="9">AC7-AE7</f>
        <v>530907.83636363619</v>
      </c>
      <c r="AI7" t="s">
        <v>3</v>
      </c>
      <c r="AJ7" s="279">
        <f>AK7/$D$15</f>
        <v>0.31889493108389483</v>
      </c>
      <c r="AK7" s="69">
        <f>D7</f>
        <v>46435674.090000018</v>
      </c>
      <c r="AL7" s="285">
        <f t="shared" ref="AL7:AL8" si="10">AM7/AK7*10000</f>
        <v>142.99254815956868</v>
      </c>
      <c r="AM7" s="71">
        <f>F7</f>
        <v>663995.53636363626</v>
      </c>
      <c r="AN7" s="285">
        <f t="shared" ref="AN7:AN8" si="11">AO7/AK7*10000</f>
        <v>28.660658557912612</v>
      </c>
      <c r="AO7" s="71">
        <f>H7</f>
        <v>133087.70000000001</v>
      </c>
      <c r="AP7" s="286">
        <f t="shared" ref="AP7:AP8" si="12">AL7-AN7</f>
        <v>114.33188960165607</v>
      </c>
      <c r="AQ7" s="71">
        <f t="shared" ref="AQ7:AQ8" si="13">AM7-AO7</f>
        <v>530907.83636363619</v>
      </c>
    </row>
    <row r="8" spans="2:43" ht="22.5" customHeight="1" x14ac:dyDescent="0.25">
      <c r="B8" t="s">
        <v>4</v>
      </c>
      <c r="C8" s="660">
        <f t="shared" si="2"/>
        <v>4.0144580364653022E-2</v>
      </c>
      <c r="D8" s="69">
        <f>'TTV By Card'!E24</f>
        <v>5845626.4700000016</v>
      </c>
      <c r="E8" s="285">
        <f>'GP Summary'!AB45*10000</f>
        <v>143.45851781578313</v>
      </c>
      <c r="F8" s="71">
        <f t="shared" si="0"/>
        <v>83860.490909090862</v>
      </c>
      <c r="G8" s="285">
        <f>'GP Summary'!AB46*10000</f>
        <v>60.236068170372583</v>
      </c>
      <c r="H8" s="71">
        <f t="shared" si="1"/>
        <v>35211.755454545455</v>
      </c>
      <c r="I8" s="286">
        <f t="shared" si="3"/>
        <v>83.222449645410535</v>
      </c>
      <c r="J8" s="71">
        <f t="shared" si="4"/>
        <v>48648.735454545407</v>
      </c>
      <c r="M8" t="s">
        <v>4</v>
      </c>
      <c r="N8" s="3">
        <v>4.0144580364653022E-2</v>
      </c>
      <c r="O8" s="69">
        <v>5845626.4700000016</v>
      </c>
      <c r="P8" s="163">
        <v>143.45851781578313</v>
      </c>
      <c r="Q8" s="69">
        <v>83860.490909090862</v>
      </c>
      <c r="R8" s="163">
        <v>60.236068170372583</v>
      </c>
      <c r="S8" s="69">
        <v>35211.755454545455</v>
      </c>
      <c r="T8" s="163">
        <v>83.222449645410535</v>
      </c>
      <c r="U8" s="69">
        <v>48648.735454545407</v>
      </c>
      <c r="Y8" s="276" t="s">
        <v>257</v>
      </c>
      <c r="Z8" s="279">
        <f t="shared" si="5"/>
        <v>0.30787660927130645</v>
      </c>
      <c r="AA8" s="69">
        <f>SUM(D9,D11,D13)</f>
        <v>44831248.459999993</v>
      </c>
      <c r="AB8" s="285">
        <f t="shared" si="6"/>
        <v>142.89016827357023</v>
      </c>
      <c r="AC8" s="71">
        <f>SUM(F9,F11,F13)</f>
        <v>640594.46363636351</v>
      </c>
      <c r="AD8" s="285">
        <f t="shared" si="7"/>
        <v>80.895474129742766</v>
      </c>
      <c r="AE8" s="71">
        <f>SUM(H9,H11,H13)</f>
        <v>362664.50999999995</v>
      </c>
      <c r="AF8" s="286">
        <f t="shared" si="8"/>
        <v>61.994694143827459</v>
      </c>
      <c r="AG8" s="71">
        <f t="shared" si="9"/>
        <v>277929.95363636356</v>
      </c>
      <c r="AI8" s="276" t="s">
        <v>258</v>
      </c>
      <c r="AJ8" s="279">
        <f>AK8/$D$15</f>
        <v>0.6277192001973837</v>
      </c>
      <c r="AK8" s="69">
        <f>SUM(D8:D13)</f>
        <v>91404915.409999996</v>
      </c>
      <c r="AL8" s="285">
        <f t="shared" si="10"/>
        <v>145.38322478642689</v>
      </c>
      <c r="AM8" s="71">
        <f>SUM(F8:F13)</f>
        <v>1328874.1363636365</v>
      </c>
      <c r="AN8" s="285">
        <f t="shared" si="11"/>
        <v>96.075064022642806</v>
      </c>
      <c r="AO8" s="71">
        <f>SUM(H8:H13)</f>
        <v>878173.31</v>
      </c>
      <c r="AP8" s="286">
        <f t="shared" si="12"/>
        <v>49.308160763784088</v>
      </c>
      <c r="AQ8" s="71">
        <f t="shared" si="13"/>
        <v>450700.82636363641</v>
      </c>
    </row>
    <row r="9" spans="2:43" ht="22.5" customHeight="1" x14ac:dyDescent="0.25">
      <c r="B9" t="s">
        <v>5</v>
      </c>
      <c r="C9" s="660">
        <f t="shared" si="2"/>
        <v>0.22471477475541493</v>
      </c>
      <c r="D9" s="69">
        <f>'TTV By Card'!F24</f>
        <v>32721693.030000001</v>
      </c>
      <c r="E9" s="285">
        <f>'GP Summary'!AC45*10000</f>
        <v>143.21774507854948</v>
      </c>
      <c r="F9" s="71">
        <f t="shared" si="0"/>
        <v>468632.70909090899</v>
      </c>
      <c r="G9" s="285">
        <f>'GP Summary'!AC46*10000</f>
        <v>65.927949272184037</v>
      </c>
      <c r="H9" s="71">
        <f t="shared" si="1"/>
        <v>215727.4118181818</v>
      </c>
      <c r="I9" s="286">
        <f t="shared" si="3"/>
        <v>77.289795806365447</v>
      </c>
      <c r="J9" s="71">
        <f t="shared" si="4"/>
        <v>252905.29727272718</v>
      </c>
      <c r="M9" t="s">
        <v>5</v>
      </c>
      <c r="N9" s="3">
        <v>0.22471477475541493</v>
      </c>
      <c r="O9" s="69">
        <v>32721693.030000001</v>
      </c>
      <c r="P9" s="163">
        <v>143.21774507854948</v>
      </c>
      <c r="Q9" s="69">
        <v>468632.70909090899</v>
      </c>
      <c r="R9" s="163">
        <v>65.927949272184037</v>
      </c>
      <c r="S9" s="69">
        <v>215727.4118181818</v>
      </c>
      <c r="T9" s="163">
        <v>77.289795806365447</v>
      </c>
      <c r="U9" s="69">
        <v>252905.29727272718</v>
      </c>
      <c r="Y9" s="276" t="s">
        <v>259</v>
      </c>
      <c r="Z9" s="279">
        <f t="shared" si="5"/>
        <v>0.31984259092607725</v>
      </c>
      <c r="AA9" s="69">
        <f>SUM(D8,D10,D12)</f>
        <v>46573666.950000003</v>
      </c>
      <c r="AB9" s="285">
        <f t="shared" si="6"/>
        <v>147.7830108301732</v>
      </c>
      <c r="AC9" s="71">
        <f>SUM(F8,F10,F12)</f>
        <v>688279.67272727296</v>
      </c>
      <c r="AD9" s="285">
        <f t="shared" si="7"/>
        <v>110.68675364416416</v>
      </c>
      <c r="AE9" s="71">
        <f>SUM(H8,H10,H12)</f>
        <v>515508.80000000005</v>
      </c>
      <c r="AF9" s="286">
        <f t="shared" si="8"/>
        <v>37.096257186009041</v>
      </c>
      <c r="AG9" s="71">
        <f t="shared" si="9"/>
        <v>172770.87272727292</v>
      </c>
      <c r="AJ9" s="279"/>
      <c r="AK9" s="69"/>
      <c r="AL9" s="285"/>
      <c r="AM9" s="71"/>
      <c r="AN9" s="285"/>
      <c r="AO9" s="71"/>
      <c r="AP9" s="286"/>
      <c r="AQ9" s="71"/>
    </row>
    <row r="10" spans="2:43" ht="22.5" customHeight="1" x14ac:dyDescent="0.25">
      <c r="B10" t="s">
        <v>125</v>
      </c>
      <c r="C10" s="660">
        <f t="shared" si="2"/>
        <v>0.25481407643310816</v>
      </c>
      <c r="D10" s="69">
        <f>'TTV By Card'!G24</f>
        <v>37104582.900000006</v>
      </c>
      <c r="E10" s="285">
        <f>'GP Summary'!AD45*10000</f>
        <v>148.69146331982427</v>
      </c>
      <c r="F10" s="71">
        <f t="shared" si="0"/>
        <v>551713.47272727301</v>
      </c>
      <c r="G10" s="285">
        <f>'GP Summary'!AD46*10000</f>
        <v>100.86833162399658</v>
      </c>
      <c r="H10" s="71">
        <f t="shared" si="1"/>
        <v>374267.73727272736</v>
      </c>
      <c r="I10" s="286">
        <f t="shared" si="3"/>
        <v>47.823131695827684</v>
      </c>
      <c r="J10" s="71">
        <f t="shared" si="4"/>
        <v>177445.73545454565</v>
      </c>
      <c r="M10" t="s">
        <v>125</v>
      </c>
      <c r="N10" s="3">
        <v>0.25481407643310816</v>
      </c>
      <c r="O10" s="69">
        <v>37104582.900000006</v>
      </c>
      <c r="P10" s="163">
        <v>148.69146331982427</v>
      </c>
      <c r="Q10" s="69">
        <v>551713.47272727301</v>
      </c>
      <c r="R10" s="163">
        <v>100.86833162399658</v>
      </c>
      <c r="S10" s="69">
        <v>374267.73727272736</v>
      </c>
      <c r="T10" s="163">
        <v>47.823131695827684</v>
      </c>
      <c r="U10" s="69">
        <v>177445.73545454565</v>
      </c>
      <c r="Z10" s="279"/>
      <c r="AA10" s="69"/>
      <c r="AB10" s="285"/>
      <c r="AC10" s="71"/>
      <c r="AD10" s="285"/>
      <c r="AE10" s="71"/>
      <c r="AF10" s="286"/>
      <c r="AG10" s="71"/>
      <c r="AJ10" s="279"/>
      <c r="AK10" s="69"/>
      <c r="AL10" s="285"/>
      <c r="AM10" s="71"/>
      <c r="AN10" s="285"/>
      <c r="AO10" s="71"/>
      <c r="AP10" s="286"/>
      <c r="AQ10" s="71"/>
    </row>
    <row r="11" spans="2:43" ht="22.5" customHeight="1" x14ac:dyDescent="0.25">
      <c r="B11" t="s">
        <v>7</v>
      </c>
      <c r="C11" s="660">
        <f t="shared" si="2"/>
        <v>5.9184166091600793E-2</v>
      </c>
      <c r="D11" s="69">
        <f>'TTV By Card'!H24</f>
        <v>8618063.129999999</v>
      </c>
      <c r="E11" s="285">
        <f>'GP Summary'!AE45*10000</f>
        <v>142.98844600659757</v>
      </c>
      <c r="F11" s="71">
        <f t="shared" si="0"/>
        <v>123228.3454545454</v>
      </c>
      <c r="G11" s="285">
        <f>'GP Summary'!AE46*10000</f>
        <v>54.90928046317822</v>
      </c>
      <c r="H11" s="71">
        <f t="shared" si="1"/>
        <v>47321.164545454551</v>
      </c>
      <c r="I11" s="286">
        <f t="shared" si="3"/>
        <v>88.07916554341935</v>
      </c>
      <c r="J11" s="71">
        <f t="shared" si="4"/>
        <v>75907.18090909085</v>
      </c>
      <c r="M11" t="s">
        <v>7</v>
      </c>
      <c r="N11" s="3">
        <v>5.9184166091600793E-2</v>
      </c>
      <c r="O11" s="69">
        <v>8618063.129999999</v>
      </c>
      <c r="P11" s="163">
        <v>142.98844600659757</v>
      </c>
      <c r="Q11" s="69">
        <v>123228.3454545454</v>
      </c>
      <c r="R11" s="163">
        <v>54.90928046317822</v>
      </c>
      <c r="S11" s="69">
        <v>47321.164545454551</v>
      </c>
      <c r="T11" s="163">
        <v>88.07916554341935</v>
      </c>
      <c r="U11" s="69">
        <v>75907.18090909085</v>
      </c>
      <c r="Z11" s="279"/>
      <c r="AA11" s="69"/>
      <c r="AB11" s="285"/>
      <c r="AC11" s="71"/>
      <c r="AD11" s="285"/>
      <c r="AE11" s="71"/>
      <c r="AF11" s="286"/>
      <c r="AG11" s="71"/>
      <c r="AJ11" s="279"/>
      <c r="AK11" s="69"/>
      <c r="AL11" s="285"/>
      <c r="AM11" s="71"/>
      <c r="AN11" s="285"/>
      <c r="AO11" s="71"/>
      <c r="AP11" s="286"/>
      <c r="AQ11" s="71"/>
    </row>
    <row r="12" spans="2:43" ht="22.5" customHeight="1" x14ac:dyDescent="0.25">
      <c r="B12" t="s">
        <v>126</v>
      </c>
      <c r="C12" s="660">
        <f t="shared" si="2"/>
        <v>2.4883934128316128E-2</v>
      </c>
      <c r="D12" s="69">
        <f>'TTV By Card'!I24</f>
        <v>3623457.5800000005</v>
      </c>
      <c r="E12" s="285">
        <f>'GP Summary'!AF45*10000</f>
        <v>145.45695079148425</v>
      </c>
      <c r="F12" s="71">
        <f t="shared" si="0"/>
        <v>52705.709090909069</v>
      </c>
      <c r="G12" s="285">
        <f>'GP Summary'!AF46*10000</f>
        <v>292.619148787516</v>
      </c>
      <c r="H12" s="71">
        <f t="shared" si="1"/>
        <v>106029.30727272728</v>
      </c>
      <c r="I12" s="286">
        <f t="shared" si="3"/>
        <v>-147.16219799603175</v>
      </c>
      <c r="J12" s="71">
        <f t="shared" si="4"/>
        <v>-53323.598181818212</v>
      </c>
      <c r="M12" t="s">
        <v>126</v>
      </c>
      <c r="N12" s="3">
        <v>2.4883934128316128E-2</v>
      </c>
      <c r="O12" s="69">
        <v>3623457.5800000005</v>
      </c>
      <c r="P12" s="163">
        <v>145.45695079148425</v>
      </c>
      <c r="Q12" s="69">
        <v>52705.709090909069</v>
      </c>
      <c r="R12" s="163">
        <v>292.619148787516</v>
      </c>
      <c r="S12" s="69">
        <v>106029.30727272728</v>
      </c>
      <c r="T12" s="163">
        <v>-147.16219799603175</v>
      </c>
      <c r="U12" s="69">
        <v>-53323.598181818212</v>
      </c>
      <c r="Z12" s="279"/>
      <c r="AA12" s="69"/>
      <c r="AB12" s="285"/>
      <c r="AC12" s="71"/>
      <c r="AD12" s="285"/>
      <c r="AE12" s="71"/>
      <c r="AF12" s="286"/>
      <c r="AG12" s="71"/>
      <c r="AJ12" s="279"/>
      <c r="AK12" s="69"/>
      <c r="AL12" s="285"/>
      <c r="AM12" s="71"/>
      <c r="AN12" s="285"/>
      <c r="AO12" s="71"/>
      <c r="AP12" s="286"/>
      <c r="AQ12" s="71"/>
    </row>
    <row r="13" spans="2:43" ht="22.5" customHeight="1" x14ac:dyDescent="0.25">
      <c r="B13" t="s">
        <v>127</v>
      </c>
      <c r="C13" s="660">
        <f t="shared" si="2"/>
        <v>2.3977668424290749E-2</v>
      </c>
      <c r="D13" s="69">
        <f>'TTV By Card'!J24</f>
        <v>3491492.3000000003</v>
      </c>
      <c r="E13" s="285">
        <f>'GP Summary'!AG45*10000</f>
        <v>139.5775929132339</v>
      </c>
      <c r="F13" s="71">
        <f t="shared" si="0"/>
        <v>48733.409090909074</v>
      </c>
      <c r="G13" s="285">
        <f>'GP Summary'!AG46*10000</f>
        <v>285.31047780447233</v>
      </c>
      <c r="H13" s="71">
        <f t="shared" si="1"/>
        <v>99615.93363636361</v>
      </c>
      <c r="I13" s="286">
        <f t="shared" si="3"/>
        <v>-145.73288489123843</v>
      </c>
      <c r="J13" s="71">
        <f t="shared" si="4"/>
        <v>-50882.524545454537</v>
      </c>
      <c r="M13" t="s">
        <v>127</v>
      </c>
      <c r="N13" s="3">
        <v>2.3977668424290749E-2</v>
      </c>
      <c r="O13" s="69">
        <v>3491492.3000000003</v>
      </c>
      <c r="P13" s="163">
        <v>139.5775929132339</v>
      </c>
      <c r="Q13" s="69">
        <v>48733.409090909074</v>
      </c>
      <c r="R13" s="163">
        <v>285.31047780447233</v>
      </c>
      <c r="S13" s="69">
        <v>99615.93363636361</v>
      </c>
      <c r="T13" s="163">
        <v>-145.73288489123843</v>
      </c>
      <c r="U13" s="69">
        <v>-50882.524545454537</v>
      </c>
      <c r="Z13" s="279"/>
      <c r="AA13" s="69"/>
      <c r="AB13" s="285"/>
      <c r="AC13" s="71"/>
      <c r="AD13" s="285"/>
      <c r="AE13" s="71"/>
      <c r="AF13" s="286"/>
      <c r="AG13" s="71"/>
      <c r="AJ13" s="279"/>
      <c r="AK13" s="69"/>
      <c r="AL13" s="285"/>
      <c r="AM13" s="71"/>
      <c r="AN13" s="285"/>
      <c r="AO13" s="71"/>
      <c r="AP13" s="286"/>
      <c r="AQ13" s="71"/>
    </row>
    <row r="14" spans="2:43" ht="22.5" customHeight="1" x14ac:dyDescent="0.25">
      <c r="C14" s="116"/>
      <c r="F14" s="71"/>
      <c r="G14" s="250"/>
      <c r="Z14" s="116"/>
      <c r="AA14" s="69"/>
      <c r="AB14" s="240"/>
      <c r="AC14" s="71"/>
      <c r="AD14" s="250"/>
      <c r="AJ14" s="116"/>
      <c r="AK14" s="69"/>
      <c r="AL14" s="240"/>
      <c r="AM14" s="71"/>
      <c r="AN14" s="250"/>
    </row>
    <row r="15" spans="2:43" ht="22.5" customHeight="1" x14ac:dyDescent="0.25">
      <c r="B15" s="280" t="s">
        <v>10</v>
      </c>
      <c r="C15" s="281">
        <f>SUM(C6:C13)</f>
        <v>1</v>
      </c>
      <c r="D15" s="70">
        <f>SUM(D6:D13)</f>
        <v>145614337.40000004</v>
      </c>
      <c r="E15" s="289">
        <f>F15/D15*10000</f>
        <v>145.13100099066577</v>
      </c>
      <c r="F15" s="70">
        <f>SUM(F6:F13)</f>
        <v>2113315.4545454546</v>
      </c>
      <c r="G15" s="290">
        <f>H15/D15*10000</f>
        <v>78.508438139553675</v>
      </c>
      <c r="H15" s="70">
        <f>SUM(H6:H13)</f>
        <v>1143195.4200000002</v>
      </c>
      <c r="I15" s="307">
        <f>E15-G15</f>
        <v>66.622562851112093</v>
      </c>
      <c r="J15" s="70">
        <f>SUM(J6:J13)</f>
        <v>970120.0345454542</v>
      </c>
      <c r="M15" t="s">
        <v>10</v>
      </c>
      <c r="N15" s="3">
        <v>1</v>
      </c>
      <c r="O15" s="69">
        <v>145614337.40000004</v>
      </c>
      <c r="P15" s="163">
        <v>145.13100099066577</v>
      </c>
      <c r="Q15" s="69">
        <v>2113315.4545454546</v>
      </c>
      <c r="R15" s="163">
        <v>78.508438139553675</v>
      </c>
      <c r="S15" s="69">
        <v>1143195.4200000002</v>
      </c>
      <c r="T15" s="163">
        <v>66.622562851112093</v>
      </c>
      <c r="U15" s="69">
        <v>970120.0345454542</v>
      </c>
      <c r="Y15" s="280" t="s">
        <v>10</v>
      </c>
      <c r="Z15" s="281">
        <f>SUM(Z6:Z13)</f>
        <v>0.99999999999999989</v>
      </c>
      <c r="AA15" s="70">
        <f>SUM(AA6:AA13)</f>
        <v>145614337.40000004</v>
      </c>
      <c r="AB15" s="289">
        <f>AC15/AA15*10000</f>
        <v>145.13100099066577</v>
      </c>
      <c r="AC15" s="70">
        <f>SUM(AC6:AC13)</f>
        <v>2113315.4545454546</v>
      </c>
      <c r="AD15" s="290">
        <f>AE15/AA15*10000</f>
        <v>78.508438139553661</v>
      </c>
      <c r="AE15" s="70">
        <f>SUM(AE6:AE13)</f>
        <v>1143195.42</v>
      </c>
      <c r="AF15" s="287">
        <f>AG15/AA15</f>
        <v>6.6622562851112099E-3</v>
      </c>
      <c r="AG15" s="70">
        <f>SUM(AG6:AG13)</f>
        <v>970120.03454545455</v>
      </c>
      <c r="AI15" s="280" t="s">
        <v>10</v>
      </c>
      <c r="AJ15" s="281">
        <f>SUM(AJ6:AJ13)</f>
        <v>0.99999999999999989</v>
      </c>
      <c r="AK15" s="70">
        <f>SUM(AK6:AK13)</f>
        <v>145614337.40000001</v>
      </c>
      <c r="AL15" s="289">
        <f>AM15/AK15*10000</f>
        <v>145.1310009906658</v>
      </c>
      <c r="AM15" s="70">
        <f>SUM(AM6:AM13)</f>
        <v>2113315.4545454546</v>
      </c>
      <c r="AN15" s="290">
        <f>AO15/AK15*10000</f>
        <v>78.508438139553675</v>
      </c>
      <c r="AO15" s="70">
        <f>SUM(AO6:AO13)</f>
        <v>1143195.42</v>
      </c>
      <c r="AP15" s="287">
        <f>AQ15/AK15</f>
        <v>6.6622562851112108E-3</v>
      </c>
      <c r="AQ15" s="70">
        <f>SUM(AQ6:AQ13)</f>
        <v>970120.03454545443</v>
      </c>
    </row>
    <row r="16" spans="2:43" ht="22.5" customHeight="1" x14ac:dyDescent="0.25">
      <c r="G16" s="250"/>
    </row>
    <row r="17" spans="2:35" ht="22.5" customHeight="1" x14ac:dyDescent="0.25">
      <c r="G17" s="250"/>
    </row>
    <row r="18" spans="2:35" ht="22.5" customHeight="1" x14ac:dyDescent="0.25">
      <c r="G18" s="250"/>
      <c r="AI18" s="280" t="s">
        <v>260</v>
      </c>
    </row>
    <row r="19" spans="2:35" ht="22.5" customHeight="1" x14ac:dyDescent="0.25">
      <c r="B19" s="282" t="s">
        <v>251</v>
      </c>
      <c r="C19" s="283" t="s">
        <v>16</v>
      </c>
      <c r="D19" s="284" t="s">
        <v>252</v>
      </c>
      <c r="E19" s="288" t="s">
        <v>253</v>
      </c>
      <c r="F19" s="282" t="s">
        <v>254</v>
      </c>
      <c r="G19" s="283" t="s">
        <v>255</v>
      </c>
      <c r="H19" s="282" t="s">
        <v>87</v>
      </c>
      <c r="I19" s="282" t="s">
        <v>256</v>
      </c>
      <c r="J19" s="282" t="s">
        <v>77</v>
      </c>
      <c r="M19" t="s">
        <v>251</v>
      </c>
      <c r="N19" s="3" t="s">
        <v>16</v>
      </c>
      <c r="O19" s="69" t="s">
        <v>252</v>
      </c>
      <c r="P19" s="163" t="s">
        <v>253</v>
      </c>
      <c r="Q19" s="69" t="s">
        <v>254</v>
      </c>
      <c r="R19" s="163" t="s">
        <v>255</v>
      </c>
      <c r="S19" s="69" t="s">
        <v>87</v>
      </c>
      <c r="T19" s="163" t="s">
        <v>256</v>
      </c>
      <c r="U19" s="69" t="s">
        <v>77</v>
      </c>
    </row>
    <row r="20" spans="2:35" ht="22.5" customHeight="1" x14ac:dyDescent="0.25">
      <c r="G20" s="250"/>
    </row>
    <row r="21" spans="2:35" ht="22.5" customHeight="1" x14ac:dyDescent="0.25">
      <c r="B21" t="s">
        <v>124</v>
      </c>
      <c r="C21" s="660">
        <v>0.04</v>
      </c>
      <c r="D21" s="69">
        <f>C21*$D$15</f>
        <v>5824573.4960000012</v>
      </c>
      <c r="E21" s="285">
        <v>195</v>
      </c>
      <c r="F21" s="71">
        <f t="shared" ref="F21:F28" si="14">E21*D21/10000</f>
        <v>113579.18317200003</v>
      </c>
      <c r="G21" s="285">
        <f>G6</f>
        <v>169.71789116032431</v>
      </c>
      <c r="H21" s="71">
        <f t="shared" ref="H21:H28" si="15">G21*D21/10000</f>
        <v>98853.433064943791</v>
      </c>
      <c r="I21" s="286">
        <f>E21-G21</f>
        <v>25.282108839675686</v>
      </c>
      <c r="J21" s="71">
        <f>F21-H21</f>
        <v>14725.750107056243</v>
      </c>
      <c r="M21" t="s">
        <v>124</v>
      </c>
      <c r="N21" s="3">
        <v>0.04</v>
      </c>
      <c r="O21" s="69">
        <v>5824573.4960000012</v>
      </c>
      <c r="P21" s="163">
        <v>195</v>
      </c>
      <c r="Q21" s="69">
        <v>113579.18317200003</v>
      </c>
      <c r="R21" s="163">
        <v>169.71789116032431</v>
      </c>
      <c r="S21" s="69">
        <v>98853.433064943791</v>
      </c>
      <c r="T21" s="163">
        <v>25.282108839675686</v>
      </c>
      <c r="U21" s="69">
        <v>14725.750107056243</v>
      </c>
    </row>
    <row r="22" spans="2:35" ht="22.5" customHeight="1" x14ac:dyDescent="0.25">
      <c r="B22" t="s">
        <v>3</v>
      </c>
      <c r="C22" s="660">
        <v>0.35</v>
      </c>
      <c r="D22" s="69">
        <f t="shared" ref="D22:D28" si="16">C22*$D$15</f>
        <v>50965018.090000011</v>
      </c>
      <c r="E22" s="285">
        <v>65</v>
      </c>
      <c r="F22" s="71">
        <f t="shared" si="14"/>
        <v>331272.61758500006</v>
      </c>
      <c r="G22" s="285">
        <v>25</v>
      </c>
      <c r="H22" s="71">
        <f t="shared" si="15"/>
        <v>127412.54522500002</v>
      </c>
      <c r="I22" s="286">
        <f t="shared" ref="I22:I28" si="17">E22-G22</f>
        <v>40</v>
      </c>
      <c r="J22" s="71">
        <f t="shared" ref="J22:J28" si="18">F22-H22</f>
        <v>203860.07236000005</v>
      </c>
      <c r="M22" t="s">
        <v>3</v>
      </c>
      <c r="N22" s="3">
        <v>0.35</v>
      </c>
      <c r="O22" s="69">
        <v>50965018.090000011</v>
      </c>
      <c r="P22" s="163">
        <v>65</v>
      </c>
      <c r="Q22" s="69">
        <v>331272.61758500006</v>
      </c>
      <c r="R22" s="163">
        <v>25</v>
      </c>
      <c r="S22" s="69">
        <v>127412.54522500002</v>
      </c>
      <c r="T22" s="163">
        <v>40</v>
      </c>
      <c r="U22" s="69">
        <v>203860.07236000005</v>
      </c>
    </row>
    <row r="23" spans="2:35" ht="22.5" customHeight="1" x14ac:dyDescent="0.25">
      <c r="B23" t="s">
        <v>4</v>
      </c>
      <c r="C23" s="660">
        <f t="shared" ref="C23:C28" si="19">C8</f>
        <v>4.0144580364653022E-2</v>
      </c>
      <c r="D23" s="69">
        <f t="shared" si="16"/>
        <v>5845626.4700000016</v>
      </c>
      <c r="E23" s="285">
        <v>150</v>
      </c>
      <c r="F23" s="71">
        <f t="shared" si="14"/>
        <v>87684.397050000029</v>
      </c>
      <c r="G23" s="285">
        <f t="shared" ref="G23:G28" si="20">G8</f>
        <v>60.236068170372583</v>
      </c>
      <c r="H23" s="71">
        <f t="shared" si="15"/>
        <v>35211.755454545455</v>
      </c>
      <c r="I23" s="286">
        <f t="shared" si="17"/>
        <v>89.76393182962741</v>
      </c>
      <c r="J23" s="71">
        <f t="shared" si="18"/>
        <v>52472.641595454574</v>
      </c>
      <c r="M23" t="s">
        <v>4</v>
      </c>
      <c r="N23" s="3">
        <v>4.0144580364653022E-2</v>
      </c>
      <c r="O23" s="69">
        <v>5845626.4700000016</v>
      </c>
      <c r="P23" s="163">
        <v>150</v>
      </c>
      <c r="Q23" s="69">
        <v>87684.397050000029</v>
      </c>
      <c r="R23" s="163">
        <v>60.236068170372583</v>
      </c>
      <c r="S23" s="69">
        <v>35211.755454545455</v>
      </c>
      <c r="T23" s="163">
        <v>89.76393182962741</v>
      </c>
      <c r="U23" s="69">
        <v>52472.641595454574</v>
      </c>
    </row>
    <row r="24" spans="2:35" ht="22.5" customHeight="1" x14ac:dyDescent="0.25">
      <c r="B24" t="s">
        <v>5</v>
      </c>
      <c r="C24" s="660">
        <v>0.2</v>
      </c>
      <c r="D24" s="69">
        <f t="shared" si="16"/>
        <v>29122867.480000008</v>
      </c>
      <c r="E24" s="285">
        <v>65</v>
      </c>
      <c r="F24" s="71">
        <f t="shared" si="14"/>
        <v>189298.63862000004</v>
      </c>
      <c r="G24" s="285">
        <v>25</v>
      </c>
      <c r="H24" s="71">
        <f t="shared" si="15"/>
        <v>72807.168700000024</v>
      </c>
      <c r="I24" s="286">
        <f t="shared" si="17"/>
        <v>40</v>
      </c>
      <c r="J24" s="71">
        <f t="shared" si="18"/>
        <v>116491.46992000002</v>
      </c>
      <c r="M24" t="s">
        <v>5</v>
      </c>
      <c r="N24" s="3">
        <v>0.2</v>
      </c>
      <c r="O24" s="69">
        <v>29122867.480000008</v>
      </c>
      <c r="P24" s="163">
        <v>65</v>
      </c>
      <c r="Q24" s="69">
        <v>189298.63862000004</v>
      </c>
      <c r="R24" s="163">
        <v>25</v>
      </c>
      <c r="S24" s="69">
        <v>72807.168700000024</v>
      </c>
      <c r="T24" s="163">
        <v>40</v>
      </c>
      <c r="U24" s="69">
        <v>116491.46992000002</v>
      </c>
    </row>
    <row r="25" spans="2:35" ht="22.5" customHeight="1" x14ac:dyDescent="0.25">
      <c r="B25" t="s">
        <v>125</v>
      </c>
      <c r="C25" s="660">
        <v>0.26</v>
      </c>
      <c r="D25" s="69">
        <f t="shared" si="16"/>
        <v>37859727.724000007</v>
      </c>
      <c r="E25" s="285">
        <v>150</v>
      </c>
      <c r="F25" s="71">
        <f t="shared" si="14"/>
        <v>567895.91586000018</v>
      </c>
      <c r="G25" s="285">
        <f t="shared" si="20"/>
        <v>100.86833162399658</v>
      </c>
      <c r="H25" s="71">
        <f t="shared" si="15"/>
        <v>381884.75712586497</v>
      </c>
      <c r="I25" s="286">
        <f t="shared" si="17"/>
        <v>49.131668376003418</v>
      </c>
      <c r="J25" s="71">
        <f t="shared" si="18"/>
        <v>186011.15873413521</v>
      </c>
      <c r="M25" t="s">
        <v>125</v>
      </c>
      <c r="N25" s="3">
        <v>0.26</v>
      </c>
      <c r="O25" s="69">
        <v>37859727.724000007</v>
      </c>
      <c r="P25" s="163">
        <v>150</v>
      </c>
      <c r="Q25" s="69">
        <v>567895.91586000018</v>
      </c>
      <c r="R25" s="163">
        <v>100.86833162399658</v>
      </c>
      <c r="S25" s="69">
        <v>381884.75712586497</v>
      </c>
      <c r="T25" s="163">
        <v>49.131668376003418</v>
      </c>
      <c r="U25" s="69">
        <v>186011.15873413521</v>
      </c>
    </row>
    <row r="26" spans="2:35" ht="22.5" customHeight="1" x14ac:dyDescent="0.25">
      <c r="B26" t="s">
        <v>7</v>
      </c>
      <c r="C26" s="660">
        <f t="shared" si="19"/>
        <v>5.9184166091600793E-2</v>
      </c>
      <c r="D26" s="69">
        <f t="shared" si="16"/>
        <v>8618063.129999999</v>
      </c>
      <c r="E26" s="285">
        <v>65</v>
      </c>
      <c r="F26" s="71">
        <f t="shared" si="14"/>
        <v>56017.410344999989</v>
      </c>
      <c r="G26" s="285">
        <v>25</v>
      </c>
      <c r="H26" s="71">
        <f t="shared" si="15"/>
        <v>21545.157824999998</v>
      </c>
      <c r="I26" s="286">
        <f t="shared" si="17"/>
        <v>40</v>
      </c>
      <c r="J26" s="71">
        <f t="shared" si="18"/>
        <v>34472.252519999995</v>
      </c>
      <c r="M26" t="s">
        <v>7</v>
      </c>
      <c r="N26" s="3">
        <v>5.9184166091600793E-2</v>
      </c>
      <c r="O26" s="69">
        <v>8618063.129999999</v>
      </c>
      <c r="P26" s="163">
        <v>65</v>
      </c>
      <c r="Q26" s="69">
        <v>56017.410344999989</v>
      </c>
      <c r="R26" s="163">
        <v>25</v>
      </c>
      <c r="S26" s="69">
        <v>21545.157824999998</v>
      </c>
      <c r="T26" s="163">
        <v>40</v>
      </c>
      <c r="U26" s="69">
        <v>34472.252519999995</v>
      </c>
    </row>
    <row r="27" spans="2:35" ht="22.5" customHeight="1" x14ac:dyDescent="0.25">
      <c r="B27" t="s">
        <v>126</v>
      </c>
      <c r="C27" s="660">
        <f t="shared" si="19"/>
        <v>2.4883934128316128E-2</v>
      </c>
      <c r="D27" s="69">
        <f t="shared" si="16"/>
        <v>3623457.5800000005</v>
      </c>
      <c r="E27" s="285">
        <v>300</v>
      </c>
      <c r="F27" s="71">
        <f t="shared" si="14"/>
        <v>108703.72740000002</v>
      </c>
      <c r="G27" s="285">
        <f t="shared" si="20"/>
        <v>292.619148787516</v>
      </c>
      <c r="H27" s="71">
        <f t="shared" si="15"/>
        <v>106029.30727272728</v>
      </c>
      <c r="I27" s="286">
        <f t="shared" si="17"/>
        <v>7.3808512124840036</v>
      </c>
      <c r="J27" s="71">
        <f t="shared" si="18"/>
        <v>2674.4201272727369</v>
      </c>
      <c r="M27" t="s">
        <v>126</v>
      </c>
      <c r="N27" s="3">
        <v>2.4883934128316128E-2</v>
      </c>
      <c r="O27" s="69">
        <v>3623457.5800000005</v>
      </c>
      <c r="P27" s="163">
        <v>300</v>
      </c>
      <c r="Q27" s="69">
        <v>108703.72740000002</v>
      </c>
      <c r="R27" s="163">
        <v>292.619148787516</v>
      </c>
      <c r="S27" s="69">
        <v>106029.30727272728</v>
      </c>
      <c r="T27" s="163">
        <v>7.3808512124840036</v>
      </c>
      <c r="U27" s="69">
        <v>2674.4201272727369</v>
      </c>
    </row>
    <row r="28" spans="2:35" ht="22.5" customHeight="1" x14ac:dyDescent="0.25">
      <c r="B28" t="s">
        <v>127</v>
      </c>
      <c r="C28" s="660">
        <f t="shared" si="19"/>
        <v>2.3977668424290749E-2</v>
      </c>
      <c r="D28" s="69">
        <f t="shared" si="16"/>
        <v>3491492.3000000003</v>
      </c>
      <c r="E28" s="285">
        <v>300</v>
      </c>
      <c r="F28" s="71">
        <f t="shared" si="14"/>
        <v>104744.76900000001</v>
      </c>
      <c r="G28" s="285">
        <f t="shared" si="20"/>
        <v>285.31047780447233</v>
      </c>
      <c r="H28" s="71">
        <f t="shared" si="15"/>
        <v>99615.93363636361</v>
      </c>
      <c r="I28" s="286">
        <f t="shared" si="17"/>
        <v>14.689522195527672</v>
      </c>
      <c r="J28" s="71">
        <f t="shared" si="18"/>
        <v>5128.8353636364045</v>
      </c>
      <c r="M28" t="s">
        <v>127</v>
      </c>
      <c r="N28" s="3">
        <v>2.3977668424290749E-2</v>
      </c>
      <c r="O28" s="69">
        <v>3491492.3000000003</v>
      </c>
      <c r="P28" s="163">
        <v>300</v>
      </c>
      <c r="Q28" s="69">
        <v>104744.76900000001</v>
      </c>
      <c r="R28" s="163">
        <v>285.31047780447233</v>
      </c>
      <c r="S28" s="69">
        <v>99615.93363636361</v>
      </c>
      <c r="T28" s="163">
        <v>14.689522195527672</v>
      </c>
      <c r="U28" s="69">
        <v>5128.8353636364045</v>
      </c>
    </row>
    <row r="29" spans="2:35" ht="22.5" customHeight="1" x14ac:dyDescent="0.25">
      <c r="C29" s="116"/>
      <c r="F29" s="71"/>
      <c r="G29" s="250"/>
    </row>
    <row r="30" spans="2:35" ht="22.5" customHeight="1" x14ac:dyDescent="0.25">
      <c r="B30" s="280" t="s">
        <v>10</v>
      </c>
      <c r="C30" s="281">
        <f>SUM(C21:C28)</f>
        <v>0.99819034900886072</v>
      </c>
      <c r="D30" s="70">
        <f>SUM(D21:D28)</f>
        <v>145350826.27000004</v>
      </c>
      <c r="E30" s="289">
        <f>F30/D30*10000</f>
        <v>107.27126216232689</v>
      </c>
      <c r="F30" s="70">
        <f>SUM(F21:F28)</f>
        <v>1559196.6590320005</v>
      </c>
      <c r="G30" s="290">
        <f>H30/D30*10000</f>
        <v>64.902283840621806</v>
      </c>
      <c r="H30" s="70">
        <f>SUM(H21:H28)</f>
        <v>943360.05830444512</v>
      </c>
      <c r="I30" s="287">
        <f>J30/D30</f>
        <v>4.2368978321705077E-3</v>
      </c>
      <c r="J30" s="70">
        <f>SUM(J21:J28)</f>
        <v>615836.60072755523</v>
      </c>
      <c r="K30" s="3">
        <f>(J15-J30)/J15</f>
        <v>0.3651954615944995</v>
      </c>
      <c r="L30" s="3"/>
      <c r="M30" s="3" t="s">
        <v>10</v>
      </c>
      <c r="N30" s="3">
        <v>0.99819034900886072</v>
      </c>
      <c r="O30" s="69">
        <v>145350826.27000004</v>
      </c>
      <c r="P30" s="163">
        <v>107.27126216232689</v>
      </c>
      <c r="Q30" s="69">
        <v>1559196.6590320005</v>
      </c>
      <c r="R30" s="163">
        <v>64.902283840621806</v>
      </c>
      <c r="S30" s="69">
        <v>943360.05830444512</v>
      </c>
      <c r="T30" s="163">
        <v>4.2368978321705077E-3</v>
      </c>
      <c r="U30" s="69">
        <v>615836.60072755523</v>
      </c>
      <c r="V30" s="3">
        <v>0.3651954615944995</v>
      </c>
      <c r="W30" s="3"/>
    </row>
    <row r="31" spans="2:35" ht="22.5" customHeight="1" x14ac:dyDescent="0.25"/>
    <row r="32" spans="2:35" ht="22.5" customHeight="1" x14ac:dyDescent="0.25"/>
    <row r="33" spans="2:47" ht="22.5" customHeight="1" x14ac:dyDescent="0.25"/>
    <row r="34" spans="2:47" ht="22.5" customHeight="1" x14ac:dyDescent="0.25"/>
    <row r="35" spans="2:47" ht="22.5" customHeight="1" x14ac:dyDescent="0.25"/>
    <row r="36" spans="2:47" ht="22.5" customHeight="1" x14ac:dyDescent="0.25">
      <c r="AK36" s="276" t="s">
        <v>75</v>
      </c>
      <c r="AM36" s="3">
        <f>1774034/110297914</f>
        <v>1.6084021317030527E-2</v>
      </c>
      <c r="AR36" s="276" t="s">
        <v>75</v>
      </c>
      <c r="AU36" s="3">
        <f>7466413/468653399</f>
        <v>1.5931630957828603E-2</v>
      </c>
    </row>
    <row r="37" spans="2:47" ht="22.5" customHeight="1" x14ac:dyDescent="0.25"/>
    <row r="38" spans="2:47" ht="22.5" customHeight="1" thickBot="1" x14ac:dyDescent="0.3"/>
    <row r="39" spans="2:47" ht="22.5" customHeight="1" thickBot="1" x14ac:dyDescent="0.3">
      <c r="B39" s="855" t="s">
        <v>261</v>
      </c>
      <c r="C39" s="856"/>
      <c r="D39" s="628"/>
      <c r="E39" s="857" t="s">
        <v>262</v>
      </c>
      <c r="F39" s="858"/>
      <c r="G39" s="628"/>
      <c r="H39" s="629" t="s">
        <v>263</v>
      </c>
      <c r="I39" s="630" t="s">
        <v>182</v>
      </c>
      <c r="AD39" s="276" t="s">
        <v>3</v>
      </c>
      <c r="AE39" s="494">
        <f>74142.23/1739689</f>
        <v>4.2618094383536365E-2</v>
      </c>
      <c r="AF39" s="276" t="s">
        <v>264</v>
      </c>
    </row>
    <row r="40" spans="2:47" ht="22.5" customHeight="1" thickBot="1" x14ac:dyDescent="0.3">
      <c r="B40" s="631"/>
      <c r="C40" s="632"/>
      <c r="D40" s="628"/>
      <c r="E40" s="633"/>
      <c r="F40" s="633"/>
      <c r="G40" s="628"/>
      <c r="H40" s="628"/>
      <c r="I40" s="628"/>
      <c r="AC40" s="276" t="s">
        <v>265</v>
      </c>
      <c r="AD40" s="495">
        <v>30</v>
      </c>
      <c r="AE40" s="297">
        <f>AE39/AD40*10000</f>
        <v>14.206031461178787</v>
      </c>
      <c r="AF40" s="276" t="s">
        <v>266</v>
      </c>
    </row>
    <row r="41" spans="2:47" ht="22.5" customHeight="1" thickBot="1" x14ac:dyDescent="0.3">
      <c r="B41" s="634" t="s">
        <v>267</v>
      </c>
      <c r="C41" s="635">
        <v>39795000</v>
      </c>
      <c r="D41" s="628"/>
      <c r="E41" s="636" t="s">
        <v>268</v>
      </c>
      <c r="F41" s="637">
        <v>497437.5</v>
      </c>
      <c r="G41" s="628"/>
      <c r="H41" s="628"/>
      <c r="I41" s="628"/>
    </row>
    <row r="42" spans="2:47" ht="22.5" customHeight="1" thickBot="1" x14ac:dyDescent="0.3">
      <c r="B42" s="638" t="s">
        <v>269</v>
      </c>
      <c r="C42" s="639">
        <v>30.85</v>
      </c>
      <c r="D42" s="628"/>
      <c r="E42" s="640" t="s">
        <v>270</v>
      </c>
      <c r="F42" s="641">
        <v>230416.26</v>
      </c>
      <c r="G42" s="628"/>
      <c r="H42" s="628"/>
      <c r="I42" s="628"/>
    </row>
    <row r="43" spans="2:47" ht="22.5" customHeight="1" thickBot="1" x14ac:dyDescent="0.3">
      <c r="B43" s="642"/>
      <c r="C43" s="632"/>
      <c r="D43" s="628"/>
      <c r="E43" s="643" t="s">
        <v>271</v>
      </c>
      <c r="F43" s="644">
        <v>267021.24</v>
      </c>
      <c r="G43" s="628"/>
      <c r="H43" s="628"/>
      <c r="I43" s="628"/>
    </row>
    <row r="44" spans="2:47" ht="22.5" customHeight="1" thickBot="1" x14ac:dyDescent="0.3">
      <c r="B44" s="645" t="s">
        <v>272</v>
      </c>
      <c r="C44" s="646">
        <v>1.2500000000000001E-2</v>
      </c>
      <c r="D44" s="628"/>
      <c r="E44" s="633"/>
      <c r="F44" s="633"/>
      <c r="G44" s="628"/>
      <c r="H44" s="628"/>
      <c r="I44" s="628"/>
    </row>
    <row r="45" spans="2:47" ht="22.5" customHeight="1" thickBot="1" x14ac:dyDescent="0.3">
      <c r="B45" s="631"/>
      <c r="C45" s="632"/>
      <c r="D45" s="628"/>
      <c r="E45" s="647">
        <v>0</v>
      </c>
      <c r="F45" s="648">
        <v>0.53680000000000005</v>
      </c>
      <c r="G45" s="628"/>
      <c r="H45" s="628"/>
      <c r="I45" s="628"/>
    </row>
    <row r="46" spans="2:47" ht="22.5" customHeight="1" thickBot="1" x14ac:dyDescent="0.3">
      <c r="B46" s="645" t="s">
        <v>273</v>
      </c>
      <c r="C46" s="649"/>
      <c r="D46" s="628"/>
      <c r="E46" s="628"/>
      <c r="F46" s="628"/>
      <c r="G46" s="628"/>
      <c r="H46" s="628"/>
      <c r="I46" s="628"/>
    </row>
    <row r="47" spans="2:47" ht="22.5" customHeight="1" thickBot="1" x14ac:dyDescent="0.3">
      <c r="B47" s="650"/>
      <c r="C47" s="632"/>
      <c r="D47" s="628"/>
      <c r="E47" s="628"/>
      <c r="F47" s="628"/>
      <c r="G47" s="628"/>
      <c r="H47" s="628"/>
      <c r="I47" s="628"/>
    </row>
    <row r="48" spans="2:47" ht="22.5" customHeight="1" thickBot="1" x14ac:dyDescent="0.3">
      <c r="B48" s="634" t="s">
        <v>274</v>
      </c>
      <c r="C48" s="649" t="s">
        <v>275</v>
      </c>
      <c r="D48" s="628"/>
      <c r="E48" s="628"/>
      <c r="F48" s="628"/>
      <c r="G48" s="628"/>
      <c r="H48" s="628"/>
      <c r="I48" s="628"/>
    </row>
    <row r="49" spans="2:9" ht="22.5" customHeight="1" thickBot="1" x14ac:dyDescent="0.3">
      <c r="B49" s="638" t="s">
        <v>276</v>
      </c>
      <c r="C49" s="649" t="s">
        <v>275</v>
      </c>
      <c r="D49" s="628"/>
      <c r="E49" s="628"/>
      <c r="F49" s="628"/>
      <c r="G49" s="628"/>
      <c r="H49" s="628"/>
      <c r="I49" s="628"/>
    </row>
    <row r="50" spans="2:9" ht="22.5" customHeight="1" x14ac:dyDescent="0.25">
      <c r="B50" s="628"/>
      <c r="C50" s="628"/>
      <c r="D50" s="628"/>
      <c r="E50" s="628"/>
      <c r="F50" s="628"/>
      <c r="G50" s="628"/>
      <c r="H50" s="628"/>
      <c r="I50" s="628"/>
    </row>
    <row r="51" spans="2:9" ht="22.5" customHeight="1" thickBot="1" x14ac:dyDescent="0.3">
      <c r="B51" s="628"/>
      <c r="C51" s="628"/>
      <c r="D51" s="628"/>
      <c r="E51" s="628" t="s">
        <v>277</v>
      </c>
      <c r="F51" s="628" t="s">
        <v>278</v>
      </c>
      <c r="G51" s="628" t="s">
        <v>255</v>
      </c>
      <c r="H51" s="628"/>
      <c r="I51" s="628"/>
    </row>
    <row r="52" spans="2:9" ht="22.5" customHeight="1" thickBot="1" x14ac:dyDescent="0.3">
      <c r="B52" s="645" t="s">
        <v>279</v>
      </c>
      <c r="C52" s="651" t="s">
        <v>14</v>
      </c>
      <c r="D52" s="628"/>
      <c r="E52" s="628"/>
      <c r="F52" s="628"/>
      <c r="G52" s="628"/>
      <c r="H52" s="628"/>
      <c r="I52" s="628"/>
    </row>
    <row r="53" spans="2:9" ht="22.5" customHeight="1" x14ac:dyDescent="0.25">
      <c r="B53" s="652" t="s">
        <v>280</v>
      </c>
      <c r="C53" s="653">
        <v>1.4E-2</v>
      </c>
      <c r="D53" s="628"/>
      <c r="E53" s="654">
        <v>8988</v>
      </c>
      <c r="F53" s="654">
        <v>557130</v>
      </c>
      <c r="G53" s="628">
        <v>1.61</v>
      </c>
      <c r="H53" s="628"/>
      <c r="I53" s="628"/>
    </row>
    <row r="54" spans="2:9" ht="22.5" customHeight="1" x14ac:dyDescent="0.25">
      <c r="B54" s="655" t="s">
        <v>281</v>
      </c>
      <c r="C54" s="653">
        <v>0.18</v>
      </c>
      <c r="D54" s="628"/>
      <c r="E54" s="654">
        <v>59361</v>
      </c>
      <c r="F54" s="654">
        <v>7163100</v>
      </c>
      <c r="G54" s="628">
        <v>0.83</v>
      </c>
      <c r="H54" s="628"/>
      <c r="I54" s="628"/>
    </row>
    <row r="55" spans="2:9" ht="22.5" customHeight="1" x14ac:dyDescent="0.25">
      <c r="B55" s="655" t="s">
        <v>282</v>
      </c>
      <c r="C55" s="653">
        <v>0.17799999999999999</v>
      </c>
      <c r="D55" s="628"/>
      <c r="E55" s="654">
        <v>67202</v>
      </c>
      <c r="F55" s="654">
        <v>7083510</v>
      </c>
      <c r="G55" s="628">
        <v>0.95</v>
      </c>
      <c r="H55" s="628"/>
      <c r="I55" s="628"/>
    </row>
    <row r="56" spans="2:9" ht="22.5" customHeight="1" x14ac:dyDescent="0.25">
      <c r="B56" s="655" t="s">
        <v>283</v>
      </c>
      <c r="C56" s="653">
        <v>0.15</v>
      </c>
      <c r="D56" s="628"/>
      <c r="E56" s="654">
        <v>31560</v>
      </c>
      <c r="F56" s="654">
        <v>5969250</v>
      </c>
      <c r="G56" s="628">
        <v>0.53</v>
      </c>
      <c r="H56" s="628"/>
      <c r="I56" s="628"/>
    </row>
    <row r="57" spans="2:9" ht="22.5" customHeight="1" x14ac:dyDescent="0.25">
      <c r="B57" s="655" t="s">
        <v>284</v>
      </c>
      <c r="C57" s="653">
        <v>0.15</v>
      </c>
      <c r="D57" s="628"/>
      <c r="E57" s="654">
        <v>31560</v>
      </c>
      <c r="F57" s="654">
        <v>5969250</v>
      </c>
      <c r="G57" s="628">
        <v>0.53</v>
      </c>
      <c r="H57" s="628"/>
      <c r="I57" s="628"/>
    </row>
    <row r="58" spans="2:9" ht="15.75" thickBot="1" x14ac:dyDescent="0.3">
      <c r="B58" s="656" t="s">
        <v>3</v>
      </c>
      <c r="C58" s="657">
        <v>0.32800000000000001</v>
      </c>
      <c r="D58" s="628"/>
      <c r="E58" s="654">
        <v>31745</v>
      </c>
      <c r="F58" s="654">
        <v>13052760</v>
      </c>
      <c r="G58" s="628">
        <v>0.24</v>
      </c>
      <c r="H58" s="628"/>
      <c r="I58" s="628"/>
    </row>
    <row r="59" spans="2:9" ht="15.75" thickBot="1" x14ac:dyDescent="0.3">
      <c r="B59" s="633"/>
      <c r="C59" s="633"/>
      <c r="D59" s="628"/>
      <c r="E59" s="628"/>
      <c r="F59" s="628"/>
      <c r="G59" s="628"/>
      <c r="H59" s="628"/>
      <c r="I59" s="628"/>
    </row>
    <row r="60" spans="2:9" ht="15.75" thickBot="1" x14ac:dyDescent="0.3">
      <c r="B60" s="633"/>
      <c r="C60" s="658">
        <v>1</v>
      </c>
      <c r="D60" s="628"/>
      <c r="E60" s="654">
        <v>230416</v>
      </c>
      <c r="F60" s="654">
        <v>39795000</v>
      </c>
      <c r="G60" s="628">
        <v>0.57999999999999996</v>
      </c>
      <c r="H60" s="628"/>
      <c r="I60" s="628"/>
    </row>
  </sheetData>
  <mergeCells count="2">
    <mergeCell ref="B39:C39"/>
    <mergeCell ref="E39:F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1271A-605A-4D5C-B5B6-EF4933E12D28}">
  <sheetPr codeName="Sheet3"/>
  <dimension ref="A1:N93"/>
  <sheetViews>
    <sheetView showGridLines="0" topLeftCell="A14" workbookViewId="0">
      <selection activeCell="C5" sqref="C5"/>
    </sheetView>
  </sheetViews>
  <sheetFormatPr defaultColWidth="8.7109375" defaultRowHeight="15" x14ac:dyDescent="0.25"/>
  <cols>
    <col min="1" max="1" width="19.7109375" style="54" customWidth="1"/>
    <col min="2" max="2" width="12.42578125" style="54" hidden="1" customWidth="1"/>
    <col min="3" max="3" width="15.42578125" style="54" customWidth="1"/>
    <col min="4" max="4" width="12.140625" style="54" bestFit="1" customWidth="1"/>
    <col min="5" max="8" width="15.28515625" style="54" customWidth="1"/>
    <col min="9" max="9" width="14.85546875" style="54" customWidth="1"/>
    <col min="10" max="10" width="13.28515625" style="54" customWidth="1"/>
    <col min="11" max="13" width="15.28515625" style="54" customWidth="1"/>
    <col min="14" max="16384" width="8.7109375" style="54"/>
  </cols>
  <sheetData>
    <row r="1" spans="1:14" ht="29.45" customHeight="1" x14ac:dyDescent="0.35">
      <c r="C1" s="716" t="s">
        <v>42</v>
      </c>
      <c r="D1" s="717"/>
      <c r="E1" s="717"/>
      <c r="F1" s="717"/>
      <c r="G1" s="717"/>
      <c r="H1" s="717"/>
      <c r="I1" s="717"/>
      <c r="J1" s="717"/>
      <c r="K1" s="717"/>
      <c r="L1" s="717"/>
      <c r="M1" s="717"/>
      <c r="N1" s="717"/>
    </row>
    <row r="2" spans="1:14" ht="30" customHeight="1" x14ac:dyDescent="0.25">
      <c r="A2" s="92" t="s">
        <v>43</v>
      </c>
      <c r="C2" s="19" t="s">
        <v>2</v>
      </c>
      <c r="D2" s="23" t="s">
        <v>3</v>
      </c>
      <c r="E2" s="25" t="s">
        <v>4</v>
      </c>
      <c r="F2" s="27" t="s">
        <v>5</v>
      </c>
      <c r="G2" s="25" t="s">
        <v>6</v>
      </c>
      <c r="H2" s="27" t="s">
        <v>7</v>
      </c>
      <c r="I2" s="25" t="s">
        <v>8</v>
      </c>
      <c r="J2" s="27" t="s">
        <v>44</v>
      </c>
      <c r="K2" s="23" t="s">
        <v>10</v>
      </c>
      <c r="L2" s="21" t="s">
        <v>11</v>
      </c>
    </row>
    <row r="3" spans="1:14" x14ac:dyDescent="0.25">
      <c r="A3" s="68" t="s">
        <v>12</v>
      </c>
      <c r="B3" s="54" t="s">
        <v>45</v>
      </c>
      <c r="C3" s="57" t="s">
        <v>46</v>
      </c>
      <c r="D3" s="57" t="s">
        <v>46</v>
      </c>
      <c r="E3" s="57" t="s">
        <v>46</v>
      </c>
      <c r="F3" s="57" t="s">
        <v>46</v>
      </c>
      <c r="G3" s="57" t="s">
        <v>46</v>
      </c>
      <c r="H3" s="57" t="s">
        <v>46</v>
      </c>
      <c r="I3" s="57" t="s">
        <v>46</v>
      </c>
      <c r="J3" s="57" t="s">
        <v>46</v>
      </c>
      <c r="K3" s="57" t="s">
        <v>46</v>
      </c>
      <c r="L3" s="58" t="s">
        <v>14</v>
      </c>
    </row>
    <row r="4" spans="1:14" x14ac:dyDescent="0.25">
      <c r="A4" s="670" t="s">
        <v>15</v>
      </c>
      <c r="B4" s="59">
        <v>3.2727272727272729</v>
      </c>
      <c r="C4" s="671">
        <v>54878.336363636379</v>
      </c>
      <c r="D4" s="672">
        <v>313667.54545454535</v>
      </c>
      <c r="E4" s="671">
        <v>37106.963636363631</v>
      </c>
      <c r="F4" s="672">
        <v>216052.08181818179</v>
      </c>
      <c r="G4" s="671">
        <v>253741.6363636365</v>
      </c>
      <c r="H4" s="672">
        <v>52110.663636363621</v>
      </c>
      <c r="I4" s="671">
        <v>27299.318181818173</v>
      </c>
      <c r="J4" s="672">
        <v>25640.481818181815</v>
      </c>
      <c r="K4" s="122">
        <v>980500.3</v>
      </c>
      <c r="L4" s="673">
        <f>K4/$K$24</f>
        <v>0.46396234909371664</v>
      </c>
    </row>
    <row r="5" spans="1:14" x14ac:dyDescent="0.25">
      <c r="A5" s="60" t="s">
        <v>47</v>
      </c>
      <c r="C5" s="674">
        <f>C4/$K$4</f>
        <v>5.5969729293949604E-2</v>
      </c>
      <c r="D5" s="675">
        <f>D4/$K$4</f>
        <v>0.31990560885554581</v>
      </c>
      <c r="E5" s="674">
        <f t="shared" ref="E5:K5" si="0">E4/$K$4</f>
        <v>3.7844928386420312E-2</v>
      </c>
      <c r="F5" s="675">
        <f t="shared" si="0"/>
        <v>0.22034881765786485</v>
      </c>
      <c r="G5" s="674">
        <f t="shared" si="0"/>
        <v>0.25878792323024941</v>
      </c>
      <c r="H5" s="675">
        <f t="shared" si="0"/>
        <v>5.3147014474512262E-2</v>
      </c>
      <c r="I5" s="674">
        <f t="shared" si="0"/>
        <v>2.7842233380059315E-2</v>
      </c>
      <c r="J5" s="675">
        <f t="shared" si="0"/>
        <v>2.6150406907761083E-2</v>
      </c>
      <c r="K5" s="674">
        <f t="shared" si="0"/>
        <v>1</v>
      </c>
      <c r="L5" s="55"/>
    </row>
    <row r="6" spans="1:14" x14ac:dyDescent="0.25">
      <c r="A6" s="676" t="s">
        <v>17</v>
      </c>
      <c r="B6" s="61"/>
      <c r="C6" s="677">
        <v>427.90909090909099</v>
      </c>
      <c r="D6" s="678">
        <v>14657.545454545449</v>
      </c>
      <c r="E6" s="677">
        <v>1474.3545454545454</v>
      </c>
      <c r="F6" s="678">
        <v>8538.3454545454515</v>
      </c>
      <c r="G6" s="677">
        <v>5103.2000000000016</v>
      </c>
      <c r="H6" s="678">
        <v>1896.1727272727271</v>
      </c>
      <c r="I6" s="677">
        <v>139.3545454545455</v>
      </c>
      <c r="J6" s="678">
        <v>227.03636363636366</v>
      </c>
      <c r="K6" s="15">
        <v>32463.918181818171</v>
      </c>
      <c r="L6" s="679">
        <f>K6/$K$24</f>
        <v>1.536158198056908E-2</v>
      </c>
    </row>
    <row r="7" spans="1:14" x14ac:dyDescent="0.25">
      <c r="A7" s="60" t="s">
        <v>47</v>
      </c>
      <c r="C7" s="674">
        <f>C6/$K$6</f>
        <v>1.3181067316413671E-2</v>
      </c>
      <c r="D7" s="675">
        <f t="shared" ref="D7:K7" si="1">D6/$K$6</f>
        <v>0.45150266127625321</v>
      </c>
      <c r="E7" s="674">
        <f t="shared" si="1"/>
        <v>4.5415175617349736E-2</v>
      </c>
      <c r="F7" s="675">
        <f t="shared" si="1"/>
        <v>0.26301031830863408</v>
      </c>
      <c r="G7" s="674">
        <f t="shared" si="1"/>
        <v>0.15719605906529524</v>
      </c>
      <c r="H7" s="675">
        <f t="shared" si="1"/>
        <v>5.8408622047806377E-2</v>
      </c>
      <c r="I7" s="674">
        <f t="shared" si="1"/>
        <v>4.2925978519928864E-3</v>
      </c>
      <c r="J7" s="675">
        <f t="shared" si="1"/>
        <v>6.9934985162548322E-3</v>
      </c>
      <c r="K7" s="674">
        <f t="shared" si="1"/>
        <v>1</v>
      </c>
      <c r="L7" s="55"/>
    </row>
    <row r="8" spans="1:14" x14ac:dyDescent="0.25">
      <c r="A8" s="676" t="s">
        <v>18</v>
      </c>
      <c r="B8" s="61">
        <v>0.44545454545454544</v>
      </c>
      <c r="C8" s="677">
        <v>52869.518181818159</v>
      </c>
      <c r="D8" s="678">
        <v>205803.26363636358</v>
      </c>
      <c r="E8" s="677">
        <v>29898.272727272717</v>
      </c>
      <c r="F8" s="678">
        <v>149555.40000000002</v>
      </c>
      <c r="G8" s="677">
        <v>205522.40000000005</v>
      </c>
      <c r="H8" s="678">
        <v>47205.909090909074</v>
      </c>
      <c r="I8" s="677">
        <v>18329.754545454529</v>
      </c>
      <c r="J8" s="678">
        <v>15291.854545454538</v>
      </c>
      <c r="K8" s="15">
        <v>724476.81818181812</v>
      </c>
      <c r="L8" s="679">
        <f>K8/$K$24</f>
        <v>0.34281475123217992</v>
      </c>
    </row>
    <row r="9" spans="1:14" x14ac:dyDescent="0.25">
      <c r="A9" s="60" t="s">
        <v>47</v>
      </c>
      <c r="C9" s="674">
        <f>C8/$K$8</f>
        <v>7.2976135129488404E-2</v>
      </c>
      <c r="D9" s="675">
        <f t="shared" ref="D9:K9" si="2">D8/$K$8</f>
        <v>0.28407156512317033</v>
      </c>
      <c r="E9" s="674">
        <f t="shared" si="2"/>
        <v>4.1268777657105522E-2</v>
      </c>
      <c r="F9" s="675">
        <f t="shared" si="2"/>
        <v>0.20643227808907874</v>
      </c>
      <c r="G9" s="674">
        <f t="shared" si="2"/>
        <v>0.28368388724402382</v>
      </c>
      <c r="H9" s="675">
        <f t="shared" si="2"/>
        <v>6.5158619166558421E-2</v>
      </c>
      <c r="I9" s="674">
        <f t="shared" si="2"/>
        <v>2.530067779319118E-2</v>
      </c>
      <c r="J9" s="675">
        <f t="shared" si="2"/>
        <v>2.1107444933616666E-2</v>
      </c>
      <c r="K9" s="674">
        <f t="shared" si="2"/>
        <v>1</v>
      </c>
      <c r="L9" s="55"/>
    </row>
    <row r="10" spans="1:14" x14ac:dyDescent="0.25">
      <c r="A10" s="676" t="s">
        <v>19</v>
      </c>
      <c r="B10" s="61">
        <v>4.5454545454545456E-2</v>
      </c>
      <c r="C10" s="677">
        <v>3346.9545454545455</v>
      </c>
      <c r="D10" s="678">
        <v>33475.19999999999</v>
      </c>
      <c r="E10" s="677">
        <v>4094.1909090909126</v>
      </c>
      <c r="F10" s="678">
        <v>28557.309090909093</v>
      </c>
      <c r="G10" s="677">
        <v>26903.490909090906</v>
      </c>
      <c r="H10" s="678">
        <v>5678.2363636363643</v>
      </c>
      <c r="I10" s="677">
        <v>2190.763636363632</v>
      </c>
      <c r="J10" s="678">
        <v>2307.2636363636352</v>
      </c>
      <c r="K10" s="15">
        <v>106553.45454545454</v>
      </c>
      <c r="L10" s="679">
        <f>K10/$K$24</f>
        <v>5.0419965271769569E-2</v>
      </c>
    </row>
    <row r="11" spans="1:14" x14ac:dyDescent="0.25">
      <c r="A11" s="60" t="s">
        <v>47</v>
      </c>
      <c r="C11" s="674">
        <f>C10/$K$10</f>
        <v>3.1411037396509481E-2</v>
      </c>
      <c r="D11" s="675">
        <f t="shared" ref="D11:K11" si="3">D10/$K$10</f>
        <v>0.3141634416528451</v>
      </c>
      <c r="E11" s="674">
        <f t="shared" si="3"/>
        <v>3.8423821419552147E-2</v>
      </c>
      <c r="F11" s="675">
        <f t="shared" si="3"/>
        <v>0.26800922797605642</v>
      </c>
      <c r="G11" s="674">
        <f t="shared" si="3"/>
        <v>0.25248820907645159</v>
      </c>
      <c r="H11" s="675">
        <f t="shared" si="3"/>
        <v>5.3290026004873363E-2</v>
      </c>
      <c r="I11" s="674">
        <f t="shared" si="3"/>
        <v>2.0560230972418412E-2</v>
      </c>
      <c r="J11" s="675">
        <f t="shared" si="3"/>
        <v>2.165357891216358E-2</v>
      </c>
      <c r="K11" s="674">
        <f t="shared" si="3"/>
        <v>1</v>
      </c>
      <c r="L11" s="55"/>
    </row>
    <row r="12" spans="1:14" x14ac:dyDescent="0.25">
      <c r="A12" s="676" t="s">
        <v>20</v>
      </c>
      <c r="B12" s="61"/>
      <c r="C12" s="677">
        <v>134.00909090909087</v>
      </c>
      <c r="D12" s="678">
        <v>2159.4818181818182</v>
      </c>
      <c r="E12" s="677">
        <v>302.66363636363627</v>
      </c>
      <c r="F12" s="678">
        <v>1091.8727272727274</v>
      </c>
      <c r="G12" s="677">
        <v>1707.7363636363632</v>
      </c>
      <c r="H12" s="678">
        <v>325.10000000000008</v>
      </c>
      <c r="I12" s="677">
        <v>42.427272727272722</v>
      </c>
      <c r="J12" s="678">
        <v>43.418181818181807</v>
      </c>
      <c r="K12" s="15">
        <v>5806.7090909090912</v>
      </c>
      <c r="L12" s="679">
        <f>K12/$K$24</f>
        <v>2.7476731932892032E-3</v>
      </c>
    </row>
    <row r="13" spans="1:14" x14ac:dyDescent="0.25">
      <c r="A13" s="60" t="s">
        <v>47</v>
      </c>
      <c r="C13" s="674">
        <f>C12/$K$12</f>
        <v>2.3078320062372985E-2</v>
      </c>
      <c r="D13" s="675">
        <f t="shared" ref="D13:K13" si="4">D12/$K$12</f>
        <v>0.37189426650676805</v>
      </c>
      <c r="E13" s="674">
        <f t="shared" si="4"/>
        <v>5.2123092723464062E-2</v>
      </c>
      <c r="F13" s="675">
        <f t="shared" si="4"/>
        <v>0.18803640929457777</v>
      </c>
      <c r="G13" s="674">
        <f t="shared" si="4"/>
        <v>0.29409711023925295</v>
      </c>
      <c r="H13" s="675">
        <f t="shared" si="4"/>
        <v>5.5986961790280218E-2</v>
      </c>
      <c r="I13" s="674">
        <f t="shared" si="4"/>
        <v>7.3065951923950026E-3</v>
      </c>
      <c r="J13" s="675">
        <f t="shared" si="4"/>
        <v>7.4772441908889072E-3</v>
      </c>
      <c r="K13" s="674">
        <f t="shared" si="4"/>
        <v>1</v>
      </c>
      <c r="L13" s="55"/>
    </row>
    <row r="14" spans="1:14" x14ac:dyDescent="0.25">
      <c r="A14" s="676" t="s">
        <v>21</v>
      </c>
      <c r="B14" s="61"/>
      <c r="C14" s="677">
        <v>2323.318181818182</v>
      </c>
      <c r="D14" s="678">
        <v>36658.018181818174</v>
      </c>
      <c r="E14" s="677">
        <v>3841.1727272727271</v>
      </c>
      <c r="F14" s="678">
        <v>19450.454545454555</v>
      </c>
      <c r="G14" s="677">
        <v>20250.890909090904</v>
      </c>
      <c r="H14" s="678">
        <v>5264.8818181818142</v>
      </c>
      <c r="I14" s="677">
        <v>1045.6181818181819</v>
      </c>
      <c r="J14" s="678">
        <v>1162.1999999999996</v>
      </c>
      <c r="K14" s="15">
        <v>89996.554545454521</v>
      </c>
      <c r="L14" s="679">
        <f>K14/$K$24</f>
        <v>4.2585415687532047E-2</v>
      </c>
    </row>
    <row r="15" spans="1:14" x14ac:dyDescent="0.25">
      <c r="A15" s="60" t="s">
        <v>47</v>
      </c>
      <c r="C15" s="674">
        <f>C14/$K$14</f>
        <v>2.5815634760159009E-2</v>
      </c>
      <c r="D15" s="675">
        <f t="shared" ref="D15:K15" si="5">D14/$K$14</f>
        <v>0.40732690675733951</v>
      </c>
      <c r="E15" s="674">
        <f t="shared" si="5"/>
        <v>4.2681330931759923E-2</v>
      </c>
      <c r="F15" s="675">
        <f t="shared" si="5"/>
        <v>0.21612443547081264</v>
      </c>
      <c r="G15" s="674">
        <f t="shared" si="5"/>
        <v>0.22501851333500544</v>
      </c>
      <c r="H15" s="675">
        <f t="shared" si="5"/>
        <v>5.8500926449608498E-2</v>
      </c>
      <c r="I15" s="674">
        <f t="shared" si="5"/>
        <v>1.1618424584133074E-2</v>
      </c>
      <c r="J15" s="675">
        <f t="shared" si="5"/>
        <v>1.2913827711182074E-2</v>
      </c>
      <c r="K15" s="674">
        <f t="shared" si="5"/>
        <v>1</v>
      </c>
      <c r="L15" s="55"/>
    </row>
    <row r="16" spans="1:14" x14ac:dyDescent="0.25">
      <c r="A16" s="676" t="s">
        <v>22</v>
      </c>
      <c r="B16" s="61"/>
      <c r="C16" s="677">
        <v>1060.4272727272726</v>
      </c>
      <c r="D16" s="678">
        <v>10445.127272727272</v>
      </c>
      <c r="E16" s="677">
        <v>1230.9272727272726</v>
      </c>
      <c r="F16" s="678">
        <v>6442.0545454545454</v>
      </c>
      <c r="G16" s="677">
        <v>8646.6181818181813</v>
      </c>
      <c r="H16" s="678">
        <v>1821.3727272727274</v>
      </c>
      <c r="I16" s="677">
        <v>565.55454545454506</v>
      </c>
      <c r="J16" s="678">
        <v>585.65454545454543</v>
      </c>
      <c r="K16" s="15">
        <v>30797.736363636363</v>
      </c>
      <c r="L16" s="679">
        <f>K16/$K$24</f>
        <v>1.4573162404990294E-2</v>
      </c>
    </row>
    <row r="17" spans="1:12" x14ac:dyDescent="0.25">
      <c r="A17" s="60" t="s">
        <v>47</v>
      </c>
      <c r="C17" s="674">
        <f>C16/$K$16</f>
        <v>3.4431987474876399E-2</v>
      </c>
      <c r="D17" s="675">
        <f t="shared" ref="D17:K17" si="6">D16/$K$16</f>
        <v>0.33915243475686374</v>
      </c>
      <c r="E17" s="674">
        <f t="shared" si="6"/>
        <v>3.9968108636083348E-2</v>
      </c>
      <c r="F17" s="675">
        <f t="shared" si="6"/>
        <v>0.20917298821548574</v>
      </c>
      <c r="G17" s="674">
        <f t="shared" si="6"/>
        <v>0.28075499055272951</v>
      </c>
      <c r="H17" s="675">
        <f t="shared" si="6"/>
        <v>5.9139824621112953E-2</v>
      </c>
      <c r="I17" s="674">
        <f t="shared" si="6"/>
        <v>1.836351018714184E-2</v>
      </c>
      <c r="J17" s="675">
        <f t="shared" si="6"/>
        <v>1.9016155555706425E-2</v>
      </c>
      <c r="K17" s="674">
        <f t="shared" si="6"/>
        <v>1</v>
      </c>
      <c r="L17" s="55"/>
    </row>
    <row r="18" spans="1:12" x14ac:dyDescent="0.25">
      <c r="A18" s="676" t="s">
        <v>23</v>
      </c>
      <c r="B18" s="61">
        <v>-2.1636363636363636</v>
      </c>
      <c r="C18" s="677">
        <v>3100.6090909090922</v>
      </c>
      <c r="D18" s="678">
        <v>44542.145454545469</v>
      </c>
      <c r="E18" s="677">
        <v>5266.8090909090888</v>
      </c>
      <c r="F18" s="678">
        <v>33480.83636363635</v>
      </c>
      <c r="G18" s="677">
        <v>27416.699999999993</v>
      </c>
      <c r="H18" s="678">
        <v>7882.1545454545458</v>
      </c>
      <c r="I18" s="677">
        <v>1597.5636363636356</v>
      </c>
      <c r="J18" s="678">
        <v>1700.100000000001</v>
      </c>
      <c r="K18" s="15">
        <v>124984.75454545455</v>
      </c>
      <c r="L18" s="679">
        <f>K18/$K$24</f>
        <v>5.914146106820229E-2</v>
      </c>
    </row>
    <row r="19" spans="1:12" x14ac:dyDescent="0.25">
      <c r="A19" s="60" t="s">
        <v>47</v>
      </c>
      <c r="C19" s="674">
        <f>C18/$K$18</f>
        <v>2.4807898388770771E-2</v>
      </c>
      <c r="D19" s="675">
        <f t="shared" ref="D19:K19" si="7">D18/$K$18</f>
        <v>0.35638062911382001</v>
      </c>
      <c r="E19" s="674">
        <f t="shared" si="7"/>
        <v>4.2139612227614941E-2</v>
      </c>
      <c r="F19" s="675">
        <f t="shared" si="7"/>
        <v>0.26787936245024202</v>
      </c>
      <c r="G19" s="674">
        <f t="shared" si="7"/>
        <v>0.21936035398644615</v>
      </c>
      <c r="H19" s="675">
        <f t="shared" si="7"/>
        <v>6.3064927991581227E-2</v>
      </c>
      <c r="I19" s="674">
        <f t="shared" si="7"/>
        <v>1.2782068038407297E-2</v>
      </c>
      <c r="J19" s="675">
        <f t="shared" si="7"/>
        <v>1.360245900536379E-2</v>
      </c>
      <c r="K19" s="674">
        <f t="shared" si="7"/>
        <v>1</v>
      </c>
      <c r="L19" s="55"/>
    </row>
    <row r="20" spans="1:12" x14ac:dyDescent="0.25">
      <c r="A20" s="676" t="s">
        <v>24</v>
      </c>
      <c r="B20" s="61"/>
      <c r="C20" s="677">
        <v>68.572727272727263</v>
      </c>
      <c r="D20" s="678">
        <v>2587.2090909090907</v>
      </c>
      <c r="E20" s="677">
        <v>276.0545454545454</v>
      </c>
      <c r="F20" s="678">
        <v>1277.6181818181817</v>
      </c>
      <c r="G20" s="677">
        <v>1154.8999999999994</v>
      </c>
      <c r="H20" s="678">
        <v>331.32727272727266</v>
      </c>
      <c r="I20" s="677">
        <v>15.745454545454544</v>
      </c>
      <c r="J20" s="678">
        <v>7.9545454545454541</v>
      </c>
      <c r="K20" s="15">
        <v>5719.3818181818178</v>
      </c>
      <c r="L20" s="679">
        <f>K20/$K$24</f>
        <v>2.7063508534648363E-3</v>
      </c>
    </row>
    <row r="21" spans="1:12" x14ac:dyDescent="0.25">
      <c r="A21" s="60" t="s">
        <v>47</v>
      </c>
      <c r="C21" s="674">
        <f>C20/$K$20</f>
        <v>1.1989534787612138E-2</v>
      </c>
      <c r="D21" s="675">
        <f t="shared" ref="D21:K21" si="8">D20/$K$20</f>
        <v>0.45235816966868636</v>
      </c>
      <c r="E21" s="674">
        <f t="shared" si="8"/>
        <v>4.8266500511816274E-2</v>
      </c>
      <c r="F21" s="675">
        <f t="shared" si="8"/>
        <v>0.22338396393761564</v>
      </c>
      <c r="G21" s="674">
        <f t="shared" si="8"/>
        <v>0.20192741745770354</v>
      </c>
      <c r="H21" s="675">
        <f t="shared" si="8"/>
        <v>5.7930609156742932E-2</v>
      </c>
      <c r="I21" s="674">
        <f t="shared" si="8"/>
        <v>2.752999370561345E-3</v>
      </c>
      <c r="J21" s="675">
        <f t="shared" si="8"/>
        <v>1.3908051092616494E-3</v>
      </c>
      <c r="K21" s="674">
        <f t="shared" si="8"/>
        <v>1</v>
      </c>
      <c r="L21" s="680"/>
    </row>
    <row r="22" spans="1:12" x14ac:dyDescent="0.25">
      <c r="A22" s="681" t="s">
        <v>25</v>
      </c>
      <c r="B22" s="61"/>
      <c r="C22" s="677">
        <f t="shared" ref="C22:K22" si="9">C36</f>
        <v>2236.1272727272726</v>
      </c>
      <c r="D22" s="678">
        <f t="shared" si="9"/>
        <v>0</v>
      </c>
      <c r="E22" s="677">
        <f t="shared" si="9"/>
        <v>369.08181818181822</v>
      </c>
      <c r="F22" s="678">
        <f t="shared" si="9"/>
        <v>4186.7363636363643</v>
      </c>
      <c r="G22" s="677">
        <f t="shared" si="9"/>
        <v>1265.9000000000001</v>
      </c>
      <c r="H22" s="678">
        <f t="shared" si="9"/>
        <v>712.52727272727259</v>
      </c>
      <c r="I22" s="677">
        <f t="shared" si="9"/>
        <v>1479.6090909090904</v>
      </c>
      <c r="J22" s="678">
        <f t="shared" si="9"/>
        <v>1767.4454545454539</v>
      </c>
      <c r="K22" s="677">
        <f t="shared" si="9"/>
        <v>12019.054545454544</v>
      </c>
      <c r="L22" s="679">
        <f t="shared" ref="L22" si="10">K22/$K$24</f>
        <v>5.6872892142864236E-3</v>
      </c>
    </row>
    <row r="23" spans="1:12" x14ac:dyDescent="0.25">
      <c r="A23" s="60" t="s">
        <v>47</v>
      </c>
      <c r="C23" s="674">
        <f>C22/$K$22</f>
        <v>0.18604851690043689</v>
      </c>
      <c r="D23" s="675">
        <f t="shared" ref="D23:K23" si="11">D22/$K$22</f>
        <v>0</v>
      </c>
      <c r="E23" s="674">
        <f t="shared" si="11"/>
        <v>3.0708057508683186E-2</v>
      </c>
      <c r="F23" s="675">
        <f t="shared" si="11"/>
        <v>0.34834157277535072</v>
      </c>
      <c r="G23" s="674">
        <f t="shared" si="11"/>
        <v>0.10532442424755843</v>
      </c>
      <c r="H23" s="675">
        <f t="shared" si="11"/>
        <v>5.9283138289503934E-2</v>
      </c>
      <c r="I23" s="674">
        <f t="shared" si="11"/>
        <v>0.12310528131088813</v>
      </c>
      <c r="J23" s="675">
        <f t="shared" si="11"/>
        <v>0.14705361789159027</v>
      </c>
      <c r="K23" s="674">
        <f t="shared" si="11"/>
        <v>1</v>
      </c>
      <c r="L23" s="55"/>
    </row>
    <row r="24" spans="1:12" x14ac:dyDescent="0.25">
      <c r="A24" s="62" t="s">
        <v>10</v>
      </c>
      <c r="B24" s="63">
        <v>3.227272727272728</v>
      </c>
      <c r="C24" s="30">
        <v>120445.7818181818</v>
      </c>
      <c r="D24" s="31">
        <v>663995.53636363626</v>
      </c>
      <c r="E24" s="30">
        <v>83860.490909090862</v>
      </c>
      <c r="F24" s="31">
        <v>468632.70909090899</v>
      </c>
      <c r="G24" s="30">
        <v>551713.47272727289</v>
      </c>
      <c r="H24" s="31">
        <v>123228.34545454542</v>
      </c>
      <c r="I24" s="30">
        <v>52705.709090909069</v>
      </c>
      <c r="J24" s="31">
        <v>48733.409090909074</v>
      </c>
      <c r="K24" s="30">
        <v>2113318.6818181812</v>
      </c>
      <c r="L24" s="64">
        <f>K24/$K$24</f>
        <v>1</v>
      </c>
    </row>
    <row r="25" spans="1:12" x14ac:dyDescent="0.25">
      <c r="A25" s="65"/>
      <c r="B25" s="66"/>
      <c r="C25" s="34">
        <f>C24/$K$24</f>
        <v>5.6993667284745239E-2</v>
      </c>
      <c r="D25" s="35">
        <f t="shared" ref="D25:K25" si="12">D24/$K$24</f>
        <v>0.31419564975045394</v>
      </c>
      <c r="E25" s="34">
        <f t="shared" si="12"/>
        <v>3.9681895414345171E-2</v>
      </c>
      <c r="F25" s="35">
        <f t="shared" si="12"/>
        <v>0.22175203064391766</v>
      </c>
      <c r="G25" s="34">
        <f t="shared" si="12"/>
        <v>0.26106496737757007</v>
      </c>
      <c r="H25" s="35">
        <f t="shared" si="12"/>
        <v>5.831034690353782E-2</v>
      </c>
      <c r="I25" s="34">
        <f t="shared" si="12"/>
        <v>2.4939782884786703E-2</v>
      </c>
      <c r="J25" s="35">
        <f t="shared" si="12"/>
        <v>2.3060132629396705E-2</v>
      </c>
      <c r="K25" s="34">
        <f t="shared" si="12"/>
        <v>1</v>
      </c>
      <c r="L25" s="67"/>
    </row>
    <row r="26" spans="1:12" x14ac:dyDescent="0.25">
      <c r="K26" s="682">
        <f>K24/'TTV By Card'!K24</f>
        <v>1.451312126553665E-2</v>
      </c>
    </row>
    <row r="28" spans="1:12" x14ac:dyDescent="0.25">
      <c r="A28" s="55" t="s">
        <v>31</v>
      </c>
      <c r="C28" s="683"/>
      <c r="D28" s="683"/>
      <c r="E28" s="683">
        <v>9.0909090909090912E-2</v>
      </c>
      <c r="F28" s="683">
        <v>5.8818181818181818</v>
      </c>
      <c r="G28" s="683">
        <v>2.7909090909090906</v>
      </c>
      <c r="H28" s="683"/>
      <c r="I28" s="683">
        <v>1.5181818181818181</v>
      </c>
      <c r="J28" s="683">
        <v>4.9909090909090903</v>
      </c>
      <c r="K28" s="70">
        <v>15.272727272727275</v>
      </c>
      <c r="L28" s="682">
        <f t="shared" ref="L28:L34" si="13">K28/$K$24</f>
        <v>7.2268926613507595E-6</v>
      </c>
    </row>
    <row r="29" spans="1:12" x14ac:dyDescent="0.25">
      <c r="A29" s="55" t="s">
        <v>32</v>
      </c>
      <c r="B29" s="54">
        <v>0.12727272727272729</v>
      </c>
      <c r="C29" s="683">
        <v>1041.0090909090914</v>
      </c>
      <c r="D29" s="683"/>
      <c r="E29" s="683">
        <v>143.87272727272727</v>
      </c>
      <c r="F29" s="683">
        <v>2015.7090909090914</v>
      </c>
      <c r="G29" s="683">
        <v>473.59999999999991</v>
      </c>
      <c r="H29" s="683">
        <v>367.09999999999985</v>
      </c>
      <c r="I29" s="683">
        <v>69.299999999999955</v>
      </c>
      <c r="J29" s="683">
        <v>85.809090909090841</v>
      </c>
      <c r="K29" s="70">
        <v>4196.5272727272732</v>
      </c>
      <c r="L29" s="682">
        <f t="shared" si="13"/>
        <v>1.985752224135366E-3</v>
      </c>
    </row>
    <row r="30" spans="1:12" x14ac:dyDescent="0.25">
      <c r="A30" s="55" t="s">
        <v>33</v>
      </c>
      <c r="C30" s="683"/>
      <c r="D30" s="683"/>
      <c r="E30" s="683"/>
      <c r="F30" s="683"/>
      <c r="G30" s="683"/>
      <c r="H30" s="683"/>
      <c r="I30" s="683"/>
      <c r="J30" s="683">
        <v>-7.2727272727272724E-2</v>
      </c>
      <c r="K30" s="70">
        <v>-7.2727272727272724E-2</v>
      </c>
      <c r="L30" s="682">
        <f t="shared" si="13"/>
        <v>-3.4413774577860753E-8</v>
      </c>
    </row>
    <row r="31" spans="1:12" x14ac:dyDescent="0.25">
      <c r="A31" s="55" t="s">
        <v>34</v>
      </c>
      <c r="C31" s="683">
        <v>134.29999999999998</v>
      </c>
      <c r="D31" s="683"/>
      <c r="E31" s="683">
        <v>55.336363636363636</v>
      </c>
      <c r="F31" s="683">
        <v>394.69090909090909</v>
      </c>
      <c r="G31" s="683">
        <v>202.85454545454542</v>
      </c>
      <c r="H31" s="683">
        <v>11.736363636363636</v>
      </c>
      <c r="I31" s="683">
        <v>718.93636363636335</v>
      </c>
      <c r="J31" s="683">
        <v>483.57272727272738</v>
      </c>
      <c r="K31" s="70">
        <v>2001.4272727272728</v>
      </c>
      <c r="L31" s="682">
        <f t="shared" si="13"/>
        <v>9.4705417121726131E-4</v>
      </c>
    </row>
    <row r="32" spans="1:12" x14ac:dyDescent="0.25">
      <c r="A32" s="55" t="s">
        <v>35</v>
      </c>
      <c r="B32" s="54">
        <v>0.12727272727272729</v>
      </c>
      <c r="C32" s="683">
        <v>1002.9818181818181</v>
      </c>
      <c r="D32" s="683"/>
      <c r="E32" s="683">
        <v>163.03636363636366</v>
      </c>
      <c r="F32" s="683">
        <v>1616.5454545454543</v>
      </c>
      <c r="G32" s="683">
        <v>566.21818181818185</v>
      </c>
      <c r="H32" s="683">
        <v>311.05454545454552</v>
      </c>
      <c r="I32" s="683">
        <v>69.090909090909093</v>
      </c>
      <c r="J32" s="683">
        <v>77.700000000000017</v>
      </c>
      <c r="K32" s="70">
        <v>3806.7545454545452</v>
      </c>
      <c r="L32" s="682">
        <f t="shared" si="13"/>
        <v>1.8013159010071432E-3</v>
      </c>
    </row>
    <row r="33" spans="1:14" x14ac:dyDescent="0.25">
      <c r="A33" s="55" t="s">
        <v>30</v>
      </c>
      <c r="C33" s="683">
        <v>2.7454545454545451</v>
      </c>
      <c r="D33" s="683"/>
      <c r="E33" s="683">
        <v>6.7454545454545451</v>
      </c>
      <c r="F33" s="683">
        <v>153.90909090909093</v>
      </c>
      <c r="G33" s="683">
        <v>20.43636363636363</v>
      </c>
      <c r="H33" s="683">
        <v>22.636363636363633</v>
      </c>
      <c r="I33" s="683">
        <v>0.48181818181818181</v>
      </c>
      <c r="J33" s="683">
        <v>9.0909090909090912E-2</v>
      </c>
      <c r="K33" s="70">
        <v>207.04545454545456</v>
      </c>
      <c r="L33" s="682">
        <f t="shared" si="13"/>
        <v>9.7971714501347344E-5</v>
      </c>
    </row>
    <row r="34" spans="1:14" x14ac:dyDescent="0.25">
      <c r="A34" s="55" t="s">
        <v>29</v>
      </c>
      <c r="B34" s="54">
        <v>1.3727272727272728</v>
      </c>
      <c r="C34" s="683">
        <v>55.090909090909065</v>
      </c>
      <c r="D34" s="683"/>
      <c r="E34" s="683"/>
      <c r="F34" s="683"/>
      <c r="G34" s="683"/>
      <c r="H34" s="683"/>
      <c r="I34" s="683">
        <v>620.28181818181804</v>
      </c>
      <c r="J34" s="683">
        <v>1115.3545454545447</v>
      </c>
      <c r="K34" s="70">
        <v>1792.099999999999</v>
      </c>
      <c r="L34" s="682">
        <f t="shared" si="13"/>
        <v>8.4800272453853316E-4</v>
      </c>
    </row>
    <row r="36" spans="1:14" x14ac:dyDescent="0.25">
      <c r="C36" s="56">
        <f>SUM(C28:C34)</f>
        <v>2236.1272727272726</v>
      </c>
      <c r="D36" s="56">
        <f t="shared" ref="D36:K36" si="14">SUM(D28:D34)</f>
        <v>0</v>
      </c>
      <c r="E36" s="56">
        <f t="shared" si="14"/>
        <v>369.08181818181822</v>
      </c>
      <c r="F36" s="56">
        <f t="shared" si="14"/>
        <v>4186.7363636363643</v>
      </c>
      <c r="G36" s="56">
        <f t="shared" si="14"/>
        <v>1265.9000000000001</v>
      </c>
      <c r="H36" s="56">
        <f t="shared" si="14"/>
        <v>712.52727272727259</v>
      </c>
      <c r="I36" s="56">
        <f t="shared" si="14"/>
        <v>1479.6090909090904</v>
      </c>
      <c r="J36" s="56">
        <f t="shared" si="14"/>
        <v>1767.4454545454539</v>
      </c>
      <c r="K36" s="56">
        <f t="shared" si="14"/>
        <v>12019.054545454544</v>
      </c>
      <c r="L36" s="56"/>
    </row>
    <row r="43" spans="1:14" ht="21" x14ac:dyDescent="0.35">
      <c r="C43" s="716" t="s">
        <v>48</v>
      </c>
      <c r="D43" s="717"/>
      <c r="E43" s="717"/>
      <c r="F43" s="717"/>
      <c r="G43" s="717"/>
      <c r="H43" s="717"/>
      <c r="I43" s="717"/>
      <c r="J43" s="717"/>
      <c r="K43" s="717"/>
      <c r="L43" s="717"/>
      <c r="M43" s="717"/>
      <c r="N43" s="717"/>
    </row>
    <row r="44" spans="1:14" ht="27" x14ac:dyDescent="0.25">
      <c r="A44" s="518" t="s">
        <v>43</v>
      </c>
      <c r="B44" s="519"/>
      <c r="C44" s="498" t="s">
        <v>2</v>
      </c>
      <c r="D44" s="499" t="s">
        <v>3</v>
      </c>
      <c r="E44" s="500" t="s">
        <v>4</v>
      </c>
      <c r="F44" s="501" t="s">
        <v>5</v>
      </c>
      <c r="G44" s="500" t="s">
        <v>6</v>
      </c>
      <c r="H44" s="501" t="s">
        <v>7</v>
      </c>
      <c r="I44" s="500" t="s">
        <v>8</v>
      </c>
      <c r="J44" s="501" t="s">
        <v>44</v>
      </c>
      <c r="K44" s="499" t="s">
        <v>10</v>
      </c>
      <c r="L44" s="502" t="s">
        <v>11</v>
      </c>
    </row>
    <row r="45" spans="1:14" x14ac:dyDescent="0.25">
      <c r="A45" s="520" t="s">
        <v>12</v>
      </c>
      <c r="B45" s="519" t="s">
        <v>45</v>
      </c>
      <c r="C45" s="521" t="s">
        <v>46</v>
      </c>
      <c r="D45" s="521" t="s">
        <v>46</v>
      </c>
      <c r="E45" s="521" t="s">
        <v>46</v>
      </c>
      <c r="F45" s="521" t="s">
        <v>46</v>
      </c>
      <c r="G45" s="521" t="s">
        <v>46</v>
      </c>
      <c r="H45" s="521" t="s">
        <v>46</v>
      </c>
      <c r="I45" s="521" t="s">
        <v>46</v>
      </c>
      <c r="J45" s="521" t="s">
        <v>46</v>
      </c>
      <c r="K45" s="521" t="s">
        <v>46</v>
      </c>
      <c r="L45" s="522" t="s">
        <v>14</v>
      </c>
    </row>
    <row r="47" spans="1:14" x14ac:dyDescent="0.25">
      <c r="A47" s="509" t="s">
        <v>10</v>
      </c>
      <c r="B47" s="510">
        <v>804.56999999999994</v>
      </c>
      <c r="C47" s="511">
        <f>C48*$K$47</f>
        <v>19052.145818181816</v>
      </c>
      <c r="D47" s="511">
        <f t="shared" ref="D47:J47" si="15">D48*$K$47</f>
        <v>163788.60436363638</v>
      </c>
      <c r="E47" s="511">
        <f t="shared" si="15"/>
        <v>21097.009636363633</v>
      </c>
      <c r="F47" s="511">
        <f t="shared" si="15"/>
        <v>114362.74963636363</v>
      </c>
      <c r="G47" s="511">
        <f t="shared" si="15"/>
        <v>126332.68418181819</v>
      </c>
      <c r="H47" s="511">
        <f t="shared" si="15"/>
        <v>31820.075999999997</v>
      </c>
      <c r="I47" s="511">
        <f t="shared" si="15"/>
        <v>12119.558727272726</v>
      </c>
      <c r="J47" s="511">
        <f t="shared" si="15"/>
        <v>10174.444363636363</v>
      </c>
      <c r="K47" s="511">
        <f>548622/11*10</f>
        <v>498747.27272727271</v>
      </c>
      <c r="L47" s="512"/>
    </row>
    <row r="48" spans="1:14" x14ac:dyDescent="0.25">
      <c r="A48" s="513" t="s">
        <v>16</v>
      </c>
      <c r="B48" s="514"/>
      <c r="C48" s="515">
        <v>3.8199999999999998E-2</v>
      </c>
      <c r="D48" s="516">
        <v>0.32840000000000003</v>
      </c>
      <c r="E48" s="515">
        <v>4.2299999999999997E-2</v>
      </c>
      <c r="F48" s="516">
        <v>0.2293</v>
      </c>
      <c r="G48" s="515">
        <v>0.25330000000000003</v>
      </c>
      <c r="H48" s="516">
        <v>6.3799999999999996E-2</v>
      </c>
      <c r="I48" s="515">
        <v>2.4299999999999999E-2</v>
      </c>
      <c r="J48" s="516">
        <v>2.0400000000000001E-2</v>
      </c>
      <c r="K48" s="515">
        <f>SUM(C48:J48)</f>
        <v>1.0000000000000002</v>
      </c>
      <c r="L48" s="517"/>
    </row>
    <row r="51" spans="1:14" ht="21" x14ac:dyDescent="0.35">
      <c r="C51" s="716" t="s">
        <v>49</v>
      </c>
      <c r="D51" s="717"/>
      <c r="E51" s="717"/>
      <c r="F51" s="717"/>
      <c r="G51" s="717"/>
      <c r="H51" s="717"/>
      <c r="I51" s="717"/>
      <c r="J51" s="717"/>
      <c r="K51" s="717"/>
      <c r="L51" s="717"/>
      <c r="M51" s="717"/>
      <c r="N51" s="717"/>
    </row>
    <row r="52" spans="1:14" ht="27" x14ac:dyDescent="0.25">
      <c r="A52" s="585" t="s">
        <v>43</v>
      </c>
      <c r="B52" s="586"/>
      <c r="C52" s="564" t="s">
        <v>2</v>
      </c>
      <c r="D52" s="565" t="s">
        <v>3</v>
      </c>
      <c r="E52" s="566" t="s">
        <v>4</v>
      </c>
      <c r="F52" s="567" t="s">
        <v>5</v>
      </c>
      <c r="G52" s="566" t="s">
        <v>6</v>
      </c>
      <c r="H52" s="567" t="s">
        <v>7</v>
      </c>
      <c r="I52" s="566" t="s">
        <v>8</v>
      </c>
      <c r="J52" s="567" t="s">
        <v>44</v>
      </c>
      <c r="K52" s="565" t="s">
        <v>10</v>
      </c>
      <c r="L52" s="568" t="s">
        <v>11</v>
      </c>
    </row>
    <row r="53" spans="1:14" x14ac:dyDescent="0.25">
      <c r="A53" s="587" t="s">
        <v>12</v>
      </c>
      <c r="B53" s="586" t="s">
        <v>45</v>
      </c>
      <c r="C53" s="588" t="s">
        <v>46</v>
      </c>
      <c r="D53" s="588" t="s">
        <v>46</v>
      </c>
      <c r="E53" s="588" t="s">
        <v>46</v>
      </c>
      <c r="F53" s="588" t="s">
        <v>46</v>
      </c>
      <c r="G53" s="588" t="s">
        <v>46</v>
      </c>
      <c r="H53" s="588" t="s">
        <v>46</v>
      </c>
      <c r="I53" s="588" t="s">
        <v>46</v>
      </c>
      <c r="J53" s="588" t="s">
        <v>46</v>
      </c>
      <c r="K53" s="588" t="s">
        <v>46</v>
      </c>
      <c r="L53" s="589" t="s">
        <v>14</v>
      </c>
    </row>
    <row r="54" spans="1:14" x14ac:dyDescent="0.25">
      <c r="A54" s="586"/>
      <c r="B54" s="586"/>
      <c r="C54" s="586"/>
      <c r="D54" s="586"/>
      <c r="E54" s="586"/>
      <c r="F54" s="586"/>
      <c r="G54" s="586"/>
      <c r="H54" s="586"/>
      <c r="I54" s="586"/>
      <c r="J54" s="586"/>
      <c r="K54" s="586"/>
      <c r="L54" s="586"/>
    </row>
    <row r="55" spans="1:14" x14ac:dyDescent="0.25">
      <c r="A55" s="576" t="s">
        <v>10</v>
      </c>
      <c r="B55" s="577">
        <v>804.56999999999994</v>
      </c>
      <c r="C55" s="578">
        <f>C56*$K$47</f>
        <v>19052.145818181816</v>
      </c>
      <c r="D55" s="578">
        <f t="shared" ref="D55" si="16">D56*$K$47</f>
        <v>163788.60436363638</v>
      </c>
      <c r="E55" s="578">
        <f t="shared" ref="E55" si="17">E56*$K$47</f>
        <v>21097.009636363633</v>
      </c>
      <c r="F55" s="578">
        <f t="shared" ref="F55" si="18">F56*$K$47</f>
        <v>114362.74963636363</v>
      </c>
      <c r="G55" s="578">
        <f t="shared" ref="G55" si="19">G56*$K$47</f>
        <v>126332.68418181819</v>
      </c>
      <c r="H55" s="578">
        <f t="shared" ref="H55" si="20">H56*$K$47</f>
        <v>31820.075999999997</v>
      </c>
      <c r="I55" s="578">
        <f t="shared" ref="I55" si="21">I56*$K$47</f>
        <v>12119.558727272726</v>
      </c>
      <c r="J55" s="578">
        <f t="shared" ref="J55" si="22">J56*$K$47</f>
        <v>10174.444363636363</v>
      </c>
      <c r="K55" s="578">
        <f>548622/11*10</f>
        <v>498747.27272727271</v>
      </c>
      <c r="L55" s="579"/>
    </row>
    <row r="56" spans="1:14" x14ac:dyDescent="0.25">
      <c r="A56" s="580" t="s">
        <v>16</v>
      </c>
      <c r="B56" s="581"/>
      <c r="C56" s="582">
        <v>3.8199999999999998E-2</v>
      </c>
      <c r="D56" s="583">
        <v>0.32840000000000003</v>
      </c>
      <c r="E56" s="582">
        <v>4.2299999999999997E-2</v>
      </c>
      <c r="F56" s="583">
        <v>0.2293</v>
      </c>
      <c r="G56" s="582">
        <v>0.25330000000000003</v>
      </c>
      <c r="H56" s="583">
        <v>6.3799999999999996E-2</v>
      </c>
      <c r="I56" s="582">
        <v>2.4299999999999999E-2</v>
      </c>
      <c r="J56" s="583">
        <v>2.0400000000000001E-2</v>
      </c>
      <c r="K56" s="582">
        <f>SUM(C56:J56)</f>
        <v>1.0000000000000002</v>
      </c>
      <c r="L56" s="584"/>
    </row>
    <row r="58" spans="1:14" ht="21" x14ac:dyDescent="0.35">
      <c r="C58" s="716" t="s">
        <v>42</v>
      </c>
      <c r="D58" s="717"/>
      <c r="E58" s="717"/>
      <c r="F58" s="717"/>
      <c r="G58" s="717"/>
      <c r="H58" s="717"/>
      <c r="I58" s="717"/>
      <c r="J58" s="717"/>
      <c r="K58" s="717"/>
      <c r="L58" s="717"/>
      <c r="M58" s="717"/>
      <c r="N58" s="717"/>
    </row>
    <row r="59" spans="1:14" ht="27" x14ac:dyDescent="0.25">
      <c r="A59" s="92" t="s">
        <v>43</v>
      </c>
      <c r="C59" s="19" t="s">
        <v>2</v>
      </c>
      <c r="D59" s="23" t="s">
        <v>3</v>
      </c>
      <c r="E59" s="25" t="s">
        <v>4</v>
      </c>
      <c r="F59" s="27" t="s">
        <v>5</v>
      </c>
      <c r="G59" s="25" t="s">
        <v>6</v>
      </c>
      <c r="H59" s="27" t="s">
        <v>7</v>
      </c>
      <c r="I59" s="25" t="s">
        <v>8</v>
      </c>
      <c r="J59" s="27" t="s">
        <v>44</v>
      </c>
      <c r="K59" s="23" t="s">
        <v>10</v>
      </c>
      <c r="L59" s="21" t="s">
        <v>11</v>
      </c>
    </row>
    <row r="60" spans="1:14" x14ac:dyDescent="0.25">
      <c r="A60" s="68" t="s">
        <v>12</v>
      </c>
      <c r="B60" s="54" t="s">
        <v>45</v>
      </c>
      <c r="C60" s="57" t="s">
        <v>46</v>
      </c>
      <c r="D60" s="57" t="s">
        <v>46</v>
      </c>
      <c r="E60" s="57" t="s">
        <v>46</v>
      </c>
      <c r="F60" s="57" t="s">
        <v>46</v>
      </c>
      <c r="G60" s="57" t="s">
        <v>46</v>
      </c>
      <c r="H60" s="57" t="s">
        <v>46</v>
      </c>
      <c r="I60" s="57" t="s">
        <v>46</v>
      </c>
      <c r="J60" s="57" t="s">
        <v>46</v>
      </c>
      <c r="K60" s="57" t="s">
        <v>46</v>
      </c>
      <c r="L60" s="58" t="s">
        <v>14</v>
      </c>
    </row>
    <row r="61" spans="1:14" x14ac:dyDescent="0.25">
      <c r="A61" s="670" t="s">
        <v>15</v>
      </c>
      <c r="B61" s="59">
        <v>3.2727272727272729</v>
      </c>
      <c r="C61" s="671">
        <v>54878.336363636379</v>
      </c>
      <c r="D61" s="672">
        <v>313667.54545454535</v>
      </c>
      <c r="E61" s="671">
        <v>37106.963636363631</v>
      </c>
      <c r="F61" s="672">
        <v>216052.08181818179</v>
      </c>
      <c r="G61" s="671">
        <v>253741.6363636365</v>
      </c>
      <c r="H61" s="672">
        <v>52110.663636363621</v>
      </c>
      <c r="I61" s="671">
        <v>27299.318181818173</v>
      </c>
      <c r="J61" s="672">
        <v>25640.481818181815</v>
      </c>
      <c r="K61" s="122">
        <v>980500.3</v>
      </c>
      <c r="L61" s="673">
        <f>K61/$K$24</f>
        <v>0.46396234909371664</v>
      </c>
    </row>
    <row r="62" spans="1:14" x14ac:dyDescent="0.25">
      <c r="A62" s="60" t="s">
        <v>47</v>
      </c>
      <c r="C62" s="674">
        <f>C61/$K$4</f>
        <v>5.5969729293949604E-2</v>
      </c>
      <c r="D62" s="675">
        <f>D61/$K$4</f>
        <v>0.31990560885554581</v>
      </c>
      <c r="E62" s="674">
        <f t="shared" ref="E62:K62" si="23">E61/$K$4</f>
        <v>3.7844928386420312E-2</v>
      </c>
      <c r="F62" s="675">
        <f t="shared" si="23"/>
        <v>0.22034881765786485</v>
      </c>
      <c r="G62" s="674">
        <f t="shared" si="23"/>
        <v>0.25878792323024941</v>
      </c>
      <c r="H62" s="675">
        <f t="shared" si="23"/>
        <v>5.3147014474512262E-2</v>
      </c>
      <c r="I62" s="674">
        <f t="shared" si="23"/>
        <v>2.7842233380059315E-2</v>
      </c>
      <c r="J62" s="675">
        <f t="shared" si="23"/>
        <v>2.6150406907761083E-2</v>
      </c>
      <c r="K62" s="674">
        <f t="shared" si="23"/>
        <v>1</v>
      </c>
      <c r="L62" s="55"/>
    </row>
    <row r="63" spans="1:14" x14ac:dyDescent="0.25">
      <c r="A63" s="676" t="s">
        <v>17</v>
      </c>
      <c r="B63" s="61"/>
      <c r="C63" s="677">
        <v>427.90909090909099</v>
      </c>
      <c r="D63" s="678">
        <v>14657.545454545449</v>
      </c>
      <c r="E63" s="677">
        <v>1474.3545454545454</v>
      </c>
      <c r="F63" s="678">
        <v>8538.3454545454515</v>
      </c>
      <c r="G63" s="677">
        <v>5103.2000000000016</v>
      </c>
      <c r="H63" s="678">
        <v>1896.1727272727271</v>
      </c>
      <c r="I63" s="677">
        <v>139.3545454545455</v>
      </c>
      <c r="J63" s="678">
        <v>227.03636363636366</v>
      </c>
      <c r="K63" s="15">
        <v>32463.918181818171</v>
      </c>
      <c r="L63" s="679">
        <f>K63/$K$24</f>
        <v>1.536158198056908E-2</v>
      </c>
    </row>
    <row r="64" spans="1:14" x14ac:dyDescent="0.25">
      <c r="A64" s="60" t="s">
        <v>47</v>
      </c>
      <c r="C64" s="674">
        <f>C63/$K$6</f>
        <v>1.3181067316413671E-2</v>
      </c>
      <c r="D64" s="675">
        <f t="shared" ref="D64:K64" si="24">D63/$K$6</f>
        <v>0.45150266127625321</v>
      </c>
      <c r="E64" s="674">
        <f t="shared" si="24"/>
        <v>4.5415175617349736E-2</v>
      </c>
      <c r="F64" s="675">
        <f t="shared" si="24"/>
        <v>0.26301031830863408</v>
      </c>
      <c r="G64" s="674">
        <f t="shared" si="24"/>
        <v>0.15719605906529524</v>
      </c>
      <c r="H64" s="675">
        <f t="shared" si="24"/>
        <v>5.8408622047806377E-2</v>
      </c>
      <c r="I64" s="674">
        <f t="shared" si="24"/>
        <v>4.2925978519928864E-3</v>
      </c>
      <c r="J64" s="675">
        <f t="shared" si="24"/>
        <v>6.9934985162548322E-3</v>
      </c>
      <c r="K64" s="674">
        <f t="shared" si="24"/>
        <v>1</v>
      </c>
      <c r="L64" s="55"/>
    </row>
    <row r="65" spans="1:12" x14ac:dyDescent="0.25">
      <c r="A65" s="676" t="s">
        <v>18</v>
      </c>
      <c r="B65" s="61">
        <v>0.44545454545454544</v>
      </c>
      <c r="C65" s="677">
        <v>52869.518181818159</v>
      </c>
      <c r="D65" s="678">
        <v>205803.26363636358</v>
      </c>
      <c r="E65" s="677">
        <v>29898.272727272717</v>
      </c>
      <c r="F65" s="678">
        <v>149555.40000000002</v>
      </c>
      <c r="G65" s="677">
        <v>205522.40000000005</v>
      </c>
      <c r="H65" s="678">
        <v>47205.909090909074</v>
      </c>
      <c r="I65" s="677">
        <v>18329.754545454529</v>
      </c>
      <c r="J65" s="678">
        <v>15291.854545454538</v>
      </c>
      <c r="K65" s="15">
        <v>724476.81818181812</v>
      </c>
      <c r="L65" s="679">
        <f>K65/$K$24</f>
        <v>0.34281475123217992</v>
      </c>
    </row>
    <row r="66" spans="1:12" x14ac:dyDescent="0.25">
      <c r="A66" s="60" t="s">
        <v>47</v>
      </c>
      <c r="C66" s="674">
        <f>C65/$K$8</f>
        <v>7.2976135129488404E-2</v>
      </c>
      <c r="D66" s="675">
        <f t="shared" ref="D66:K66" si="25">D65/$K$8</f>
        <v>0.28407156512317033</v>
      </c>
      <c r="E66" s="674">
        <f t="shared" si="25"/>
        <v>4.1268777657105522E-2</v>
      </c>
      <c r="F66" s="675">
        <f t="shared" si="25"/>
        <v>0.20643227808907874</v>
      </c>
      <c r="G66" s="674">
        <f t="shared" si="25"/>
        <v>0.28368388724402382</v>
      </c>
      <c r="H66" s="675">
        <f t="shared" si="25"/>
        <v>6.5158619166558421E-2</v>
      </c>
      <c r="I66" s="674">
        <f t="shared" si="25"/>
        <v>2.530067779319118E-2</v>
      </c>
      <c r="J66" s="675">
        <f t="shared" si="25"/>
        <v>2.1107444933616666E-2</v>
      </c>
      <c r="K66" s="674">
        <f t="shared" si="25"/>
        <v>1</v>
      </c>
      <c r="L66" s="55"/>
    </row>
    <row r="67" spans="1:12" x14ac:dyDescent="0.25">
      <c r="A67" s="676" t="s">
        <v>19</v>
      </c>
      <c r="B67" s="61">
        <v>4.5454545454545456E-2</v>
      </c>
      <c r="C67" s="677">
        <v>3346.9545454545455</v>
      </c>
      <c r="D67" s="678">
        <v>33475.19999999999</v>
      </c>
      <c r="E67" s="677">
        <v>4094.1909090909126</v>
      </c>
      <c r="F67" s="678">
        <v>28557.309090909093</v>
      </c>
      <c r="G67" s="677">
        <v>26903.490909090906</v>
      </c>
      <c r="H67" s="678">
        <v>5678.2363636363643</v>
      </c>
      <c r="I67" s="677">
        <v>2190.763636363632</v>
      </c>
      <c r="J67" s="678">
        <v>2307.2636363636352</v>
      </c>
      <c r="K67" s="15">
        <v>106553.45454545454</v>
      </c>
      <c r="L67" s="679">
        <f>K67/$K$24</f>
        <v>5.0419965271769569E-2</v>
      </c>
    </row>
    <row r="68" spans="1:12" x14ac:dyDescent="0.25">
      <c r="A68" s="60" t="s">
        <v>47</v>
      </c>
      <c r="C68" s="674">
        <f>C67/$K$10</f>
        <v>3.1411037396509481E-2</v>
      </c>
      <c r="D68" s="675">
        <f t="shared" ref="D68:K68" si="26">D67/$K$10</f>
        <v>0.3141634416528451</v>
      </c>
      <c r="E68" s="674">
        <f t="shared" si="26"/>
        <v>3.8423821419552147E-2</v>
      </c>
      <c r="F68" s="675">
        <f t="shared" si="26"/>
        <v>0.26800922797605642</v>
      </c>
      <c r="G68" s="674">
        <f t="shared" si="26"/>
        <v>0.25248820907645159</v>
      </c>
      <c r="H68" s="675">
        <f t="shared" si="26"/>
        <v>5.3290026004873363E-2</v>
      </c>
      <c r="I68" s="674">
        <f t="shared" si="26"/>
        <v>2.0560230972418412E-2</v>
      </c>
      <c r="J68" s="675">
        <f t="shared" si="26"/>
        <v>2.165357891216358E-2</v>
      </c>
      <c r="K68" s="674">
        <f t="shared" si="26"/>
        <v>1</v>
      </c>
      <c r="L68" s="55"/>
    </row>
    <row r="69" spans="1:12" x14ac:dyDescent="0.25">
      <c r="A69" s="676" t="s">
        <v>20</v>
      </c>
      <c r="B69" s="61"/>
      <c r="C69" s="677">
        <v>134.00909090909087</v>
      </c>
      <c r="D69" s="678">
        <v>2159.4818181818182</v>
      </c>
      <c r="E69" s="677">
        <v>302.66363636363627</v>
      </c>
      <c r="F69" s="678">
        <v>1091.8727272727274</v>
      </c>
      <c r="G69" s="677">
        <v>1707.7363636363632</v>
      </c>
      <c r="H69" s="678">
        <v>325.10000000000008</v>
      </c>
      <c r="I69" s="677">
        <v>42.427272727272722</v>
      </c>
      <c r="J69" s="678">
        <v>43.418181818181807</v>
      </c>
      <c r="K69" s="15">
        <v>5806.7090909090912</v>
      </c>
      <c r="L69" s="679">
        <f>K69/$K$24</f>
        <v>2.7476731932892032E-3</v>
      </c>
    </row>
    <row r="70" spans="1:12" x14ac:dyDescent="0.25">
      <c r="A70" s="60" t="s">
        <v>47</v>
      </c>
      <c r="C70" s="674">
        <f>C69/$K$12</f>
        <v>2.3078320062372985E-2</v>
      </c>
      <c r="D70" s="675">
        <f t="shared" ref="D70:K70" si="27">D69/$K$12</f>
        <v>0.37189426650676805</v>
      </c>
      <c r="E70" s="674">
        <f t="shared" si="27"/>
        <v>5.2123092723464062E-2</v>
      </c>
      <c r="F70" s="675">
        <f t="shared" si="27"/>
        <v>0.18803640929457777</v>
      </c>
      <c r="G70" s="674">
        <f t="shared" si="27"/>
        <v>0.29409711023925295</v>
      </c>
      <c r="H70" s="675">
        <f t="shared" si="27"/>
        <v>5.5986961790280218E-2</v>
      </c>
      <c r="I70" s="674">
        <f t="shared" si="27"/>
        <v>7.3065951923950026E-3</v>
      </c>
      <c r="J70" s="675">
        <f t="shared" si="27"/>
        <v>7.4772441908889072E-3</v>
      </c>
      <c r="K70" s="674">
        <f t="shared" si="27"/>
        <v>1</v>
      </c>
      <c r="L70" s="55"/>
    </row>
    <row r="71" spans="1:12" x14ac:dyDescent="0.25">
      <c r="A71" s="676" t="s">
        <v>21</v>
      </c>
      <c r="B71" s="61"/>
      <c r="C71" s="677">
        <v>2323.318181818182</v>
      </c>
      <c r="D71" s="678">
        <v>36658.018181818174</v>
      </c>
      <c r="E71" s="677">
        <v>3841.1727272727271</v>
      </c>
      <c r="F71" s="678">
        <v>19450.454545454555</v>
      </c>
      <c r="G71" s="677">
        <v>20250.890909090904</v>
      </c>
      <c r="H71" s="678">
        <v>5264.8818181818142</v>
      </c>
      <c r="I71" s="677">
        <v>1045.6181818181819</v>
      </c>
      <c r="J71" s="678">
        <v>1162.1999999999996</v>
      </c>
      <c r="K71" s="15">
        <v>89996.554545454521</v>
      </c>
      <c r="L71" s="679">
        <f>K71/$K$24</f>
        <v>4.2585415687532047E-2</v>
      </c>
    </row>
    <row r="72" spans="1:12" x14ac:dyDescent="0.25">
      <c r="A72" s="60" t="s">
        <v>47</v>
      </c>
      <c r="C72" s="674">
        <f>C71/$K$14</f>
        <v>2.5815634760159009E-2</v>
      </c>
      <c r="D72" s="675">
        <f t="shared" ref="D72:K72" si="28">D71/$K$14</f>
        <v>0.40732690675733951</v>
      </c>
      <c r="E72" s="674">
        <f t="shared" si="28"/>
        <v>4.2681330931759923E-2</v>
      </c>
      <c r="F72" s="675">
        <f t="shared" si="28"/>
        <v>0.21612443547081264</v>
      </c>
      <c r="G72" s="674">
        <f t="shared" si="28"/>
        <v>0.22501851333500544</v>
      </c>
      <c r="H72" s="675">
        <f t="shared" si="28"/>
        <v>5.8500926449608498E-2</v>
      </c>
      <c r="I72" s="674">
        <f t="shared" si="28"/>
        <v>1.1618424584133074E-2</v>
      </c>
      <c r="J72" s="675">
        <f t="shared" si="28"/>
        <v>1.2913827711182074E-2</v>
      </c>
      <c r="K72" s="674">
        <f t="shared" si="28"/>
        <v>1</v>
      </c>
      <c r="L72" s="55"/>
    </row>
    <row r="73" spans="1:12" x14ac:dyDescent="0.25">
      <c r="A73" s="676" t="s">
        <v>22</v>
      </c>
      <c r="B73" s="61"/>
      <c r="C73" s="677">
        <v>1060.4272727272726</v>
      </c>
      <c r="D73" s="678">
        <v>10445.127272727272</v>
      </c>
      <c r="E73" s="677">
        <v>1230.9272727272726</v>
      </c>
      <c r="F73" s="678">
        <v>6442.0545454545454</v>
      </c>
      <c r="G73" s="677">
        <v>8646.6181818181813</v>
      </c>
      <c r="H73" s="678">
        <v>1821.3727272727274</v>
      </c>
      <c r="I73" s="677">
        <v>565.55454545454506</v>
      </c>
      <c r="J73" s="678">
        <v>585.65454545454543</v>
      </c>
      <c r="K73" s="15">
        <v>30797.736363636363</v>
      </c>
      <c r="L73" s="679">
        <f>K73/$K$24</f>
        <v>1.4573162404990294E-2</v>
      </c>
    </row>
    <row r="74" spans="1:12" x14ac:dyDescent="0.25">
      <c r="A74" s="60" t="s">
        <v>47</v>
      </c>
      <c r="C74" s="674">
        <f>C73/$K$16</f>
        <v>3.4431987474876399E-2</v>
      </c>
      <c r="D74" s="675">
        <f t="shared" ref="D74:K74" si="29">D73/$K$16</f>
        <v>0.33915243475686374</v>
      </c>
      <c r="E74" s="674">
        <f t="shared" si="29"/>
        <v>3.9968108636083348E-2</v>
      </c>
      <c r="F74" s="675">
        <f t="shared" si="29"/>
        <v>0.20917298821548574</v>
      </c>
      <c r="G74" s="674">
        <f t="shared" si="29"/>
        <v>0.28075499055272951</v>
      </c>
      <c r="H74" s="675">
        <f t="shared" si="29"/>
        <v>5.9139824621112953E-2</v>
      </c>
      <c r="I74" s="674">
        <f t="shared" si="29"/>
        <v>1.836351018714184E-2</v>
      </c>
      <c r="J74" s="675">
        <f t="shared" si="29"/>
        <v>1.9016155555706425E-2</v>
      </c>
      <c r="K74" s="674">
        <f t="shared" si="29"/>
        <v>1</v>
      </c>
      <c r="L74" s="55"/>
    </row>
    <row r="75" spans="1:12" x14ac:dyDescent="0.25">
      <c r="A75" s="676" t="s">
        <v>23</v>
      </c>
      <c r="B75" s="61">
        <v>-2.1636363636363636</v>
      </c>
      <c r="C75" s="677">
        <v>3100.6090909090922</v>
      </c>
      <c r="D75" s="678">
        <v>44542.145454545469</v>
      </c>
      <c r="E75" s="677">
        <v>5266.8090909090888</v>
      </c>
      <c r="F75" s="678">
        <v>33480.83636363635</v>
      </c>
      <c r="G75" s="677">
        <v>27416.699999999993</v>
      </c>
      <c r="H75" s="678">
        <v>7882.1545454545458</v>
      </c>
      <c r="I75" s="677">
        <v>1597.5636363636356</v>
      </c>
      <c r="J75" s="678">
        <v>1700.100000000001</v>
      </c>
      <c r="K75" s="15">
        <v>124984.75454545455</v>
      </c>
      <c r="L75" s="679">
        <f>K75/$K$24</f>
        <v>5.914146106820229E-2</v>
      </c>
    </row>
    <row r="76" spans="1:12" x14ac:dyDescent="0.25">
      <c r="A76" s="60" t="s">
        <v>47</v>
      </c>
      <c r="C76" s="674">
        <f>C75/$K$18</f>
        <v>2.4807898388770771E-2</v>
      </c>
      <c r="D76" s="675">
        <f t="shared" ref="D76:K76" si="30">D75/$K$18</f>
        <v>0.35638062911382001</v>
      </c>
      <c r="E76" s="674">
        <f t="shared" si="30"/>
        <v>4.2139612227614941E-2</v>
      </c>
      <c r="F76" s="675">
        <f t="shared" si="30"/>
        <v>0.26787936245024202</v>
      </c>
      <c r="G76" s="674">
        <f t="shared" si="30"/>
        <v>0.21936035398644615</v>
      </c>
      <c r="H76" s="675">
        <f t="shared" si="30"/>
        <v>6.3064927991581227E-2</v>
      </c>
      <c r="I76" s="674">
        <f t="shared" si="30"/>
        <v>1.2782068038407297E-2</v>
      </c>
      <c r="J76" s="675">
        <f t="shared" si="30"/>
        <v>1.360245900536379E-2</v>
      </c>
      <c r="K76" s="674">
        <f t="shared" si="30"/>
        <v>1</v>
      </c>
      <c r="L76" s="55"/>
    </row>
    <row r="77" spans="1:12" x14ac:dyDescent="0.25">
      <c r="A77" s="676" t="s">
        <v>24</v>
      </c>
      <c r="B77" s="61"/>
      <c r="C77" s="677">
        <v>68.572727272727263</v>
      </c>
      <c r="D77" s="678">
        <v>2587.2090909090907</v>
      </c>
      <c r="E77" s="677">
        <v>276.0545454545454</v>
      </c>
      <c r="F77" s="678">
        <v>1277.6181818181817</v>
      </c>
      <c r="G77" s="677">
        <v>1154.8999999999994</v>
      </c>
      <c r="H77" s="678">
        <v>331.32727272727266</v>
      </c>
      <c r="I77" s="677">
        <v>15.745454545454544</v>
      </c>
      <c r="J77" s="678">
        <v>7.9545454545454541</v>
      </c>
      <c r="K77" s="15">
        <v>5719.3818181818178</v>
      </c>
      <c r="L77" s="679">
        <f>K77/$K$24</f>
        <v>2.7063508534648363E-3</v>
      </c>
    </row>
    <row r="78" spans="1:12" x14ac:dyDescent="0.25">
      <c r="A78" s="60" t="s">
        <v>47</v>
      </c>
      <c r="C78" s="674">
        <f>C77/$K$20</f>
        <v>1.1989534787612138E-2</v>
      </c>
      <c r="D78" s="675">
        <f t="shared" ref="D78:K78" si="31">D77/$K$20</f>
        <v>0.45235816966868636</v>
      </c>
      <c r="E78" s="674">
        <f t="shared" si="31"/>
        <v>4.8266500511816274E-2</v>
      </c>
      <c r="F78" s="675">
        <f t="shared" si="31"/>
        <v>0.22338396393761564</v>
      </c>
      <c r="G78" s="674">
        <f t="shared" si="31"/>
        <v>0.20192741745770354</v>
      </c>
      <c r="H78" s="675">
        <f t="shared" si="31"/>
        <v>5.7930609156742932E-2</v>
      </c>
      <c r="I78" s="674">
        <f t="shared" si="31"/>
        <v>2.752999370561345E-3</v>
      </c>
      <c r="J78" s="675">
        <f t="shared" si="31"/>
        <v>1.3908051092616494E-3</v>
      </c>
      <c r="K78" s="674">
        <f t="shared" si="31"/>
        <v>1</v>
      </c>
      <c r="L78" s="680"/>
    </row>
    <row r="79" spans="1:12" x14ac:dyDescent="0.25">
      <c r="A79" s="681" t="s">
        <v>25</v>
      </c>
      <c r="B79" s="61"/>
      <c r="C79" s="677">
        <f t="shared" ref="C79:K79" si="32">C93</f>
        <v>2236.1272727272726</v>
      </c>
      <c r="D79" s="678">
        <f t="shared" si="32"/>
        <v>0</v>
      </c>
      <c r="E79" s="677">
        <f t="shared" si="32"/>
        <v>369.08181818181822</v>
      </c>
      <c r="F79" s="678">
        <f t="shared" si="32"/>
        <v>4186.7363636363643</v>
      </c>
      <c r="G79" s="677">
        <f t="shared" si="32"/>
        <v>1265.9000000000001</v>
      </c>
      <c r="H79" s="678">
        <f t="shared" si="32"/>
        <v>712.52727272727259</v>
      </c>
      <c r="I79" s="677">
        <f t="shared" si="32"/>
        <v>1479.6090909090904</v>
      </c>
      <c r="J79" s="678">
        <f t="shared" si="32"/>
        <v>1767.4454545454539</v>
      </c>
      <c r="K79" s="677">
        <f t="shared" si="32"/>
        <v>12019.054545454544</v>
      </c>
      <c r="L79" s="679">
        <f t="shared" ref="L79" si="33">K79/$K$24</f>
        <v>5.6872892142864236E-3</v>
      </c>
    </row>
    <row r="80" spans="1:12" x14ac:dyDescent="0.25">
      <c r="A80" s="60" t="s">
        <v>47</v>
      </c>
      <c r="C80" s="674">
        <f>C79/$K$22</f>
        <v>0.18604851690043689</v>
      </c>
      <c r="D80" s="675">
        <f t="shared" ref="D80:K80" si="34">D79/$K$22</f>
        <v>0</v>
      </c>
      <c r="E80" s="674">
        <f t="shared" si="34"/>
        <v>3.0708057508683186E-2</v>
      </c>
      <c r="F80" s="675">
        <f t="shared" si="34"/>
        <v>0.34834157277535072</v>
      </c>
      <c r="G80" s="674">
        <f t="shared" si="34"/>
        <v>0.10532442424755843</v>
      </c>
      <c r="H80" s="675">
        <f t="shared" si="34"/>
        <v>5.9283138289503934E-2</v>
      </c>
      <c r="I80" s="674">
        <f t="shared" si="34"/>
        <v>0.12310528131088813</v>
      </c>
      <c r="J80" s="675">
        <f t="shared" si="34"/>
        <v>0.14705361789159027</v>
      </c>
      <c r="K80" s="674">
        <f t="shared" si="34"/>
        <v>1</v>
      </c>
      <c r="L80" s="55"/>
    </row>
    <row r="81" spans="1:12" x14ac:dyDescent="0.25">
      <c r="A81" s="62" t="s">
        <v>10</v>
      </c>
      <c r="B81" s="63">
        <v>3.227272727272728</v>
      </c>
      <c r="C81" s="30">
        <v>120445.7818181818</v>
      </c>
      <c r="D81" s="31">
        <v>663995.53636363626</v>
      </c>
      <c r="E81" s="30">
        <v>83860.490909090862</v>
      </c>
      <c r="F81" s="31">
        <v>468632.70909090899</v>
      </c>
      <c r="G81" s="30">
        <v>551713.47272727289</v>
      </c>
      <c r="H81" s="31">
        <v>123228.34545454542</v>
      </c>
      <c r="I81" s="30">
        <v>52705.709090909069</v>
      </c>
      <c r="J81" s="31">
        <v>48733.409090909074</v>
      </c>
      <c r="K81" s="30">
        <v>2113318.6818181812</v>
      </c>
      <c r="L81" s="64">
        <f>K81/$K$24</f>
        <v>1</v>
      </c>
    </row>
    <row r="82" spans="1:12" x14ac:dyDescent="0.25">
      <c r="A82" s="65"/>
      <c r="B82" s="66"/>
      <c r="C82" s="34">
        <f>C81/$K$24</f>
        <v>5.6993667284745239E-2</v>
      </c>
      <c r="D82" s="35">
        <f t="shared" ref="D82:K82" si="35">D81/$K$24</f>
        <v>0.31419564975045394</v>
      </c>
      <c r="E82" s="34">
        <f t="shared" si="35"/>
        <v>3.9681895414345171E-2</v>
      </c>
      <c r="F82" s="35">
        <f t="shared" si="35"/>
        <v>0.22175203064391766</v>
      </c>
      <c r="G82" s="34">
        <f t="shared" si="35"/>
        <v>0.26106496737757007</v>
      </c>
      <c r="H82" s="35">
        <f t="shared" si="35"/>
        <v>5.831034690353782E-2</v>
      </c>
      <c r="I82" s="34">
        <f t="shared" si="35"/>
        <v>2.4939782884786703E-2</v>
      </c>
      <c r="J82" s="35">
        <f t="shared" si="35"/>
        <v>2.3060132629396705E-2</v>
      </c>
      <c r="K82" s="34">
        <f t="shared" si="35"/>
        <v>1</v>
      </c>
      <c r="L82" s="67"/>
    </row>
    <row r="83" spans="1:12" x14ac:dyDescent="0.25">
      <c r="K83" s="682">
        <f>K81/'TTV By Card'!K83</f>
        <v>2113318.6818181812</v>
      </c>
    </row>
    <row r="85" spans="1:12" x14ac:dyDescent="0.25">
      <c r="A85" s="55" t="s">
        <v>31</v>
      </c>
      <c r="C85" s="683"/>
      <c r="D85" s="683"/>
      <c r="E85" s="683">
        <v>9.0909090909090912E-2</v>
      </c>
      <c r="F85" s="683">
        <v>5.8818181818181818</v>
      </c>
      <c r="G85" s="683">
        <v>2.7909090909090906</v>
      </c>
      <c r="H85" s="683"/>
      <c r="I85" s="683">
        <v>1.5181818181818181</v>
      </c>
      <c r="J85" s="683">
        <v>4.9909090909090903</v>
      </c>
      <c r="K85" s="70">
        <v>15.272727272727275</v>
      </c>
      <c r="L85" s="682">
        <f t="shared" ref="L85:L91" si="36">K85/$K$24</f>
        <v>7.2268926613507595E-6</v>
      </c>
    </row>
    <row r="86" spans="1:12" x14ac:dyDescent="0.25">
      <c r="A86" s="55" t="s">
        <v>32</v>
      </c>
      <c r="B86" s="54">
        <v>0.12727272727272729</v>
      </c>
      <c r="C86" s="683">
        <v>1041.0090909090914</v>
      </c>
      <c r="D86" s="683"/>
      <c r="E86" s="683">
        <v>143.87272727272727</v>
      </c>
      <c r="F86" s="683">
        <v>2015.7090909090914</v>
      </c>
      <c r="G86" s="683">
        <v>473.59999999999991</v>
      </c>
      <c r="H86" s="683">
        <v>367.09999999999985</v>
      </c>
      <c r="I86" s="683">
        <v>69.299999999999955</v>
      </c>
      <c r="J86" s="683">
        <v>85.809090909090841</v>
      </c>
      <c r="K86" s="70">
        <v>4196.5272727272732</v>
      </c>
      <c r="L86" s="682">
        <f t="shared" si="36"/>
        <v>1.985752224135366E-3</v>
      </c>
    </row>
    <row r="87" spans="1:12" x14ac:dyDescent="0.25">
      <c r="A87" s="55" t="s">
        <v>33</v>
      </c>
      <c r="C87" s="683"/>
      <c r="D87" s="683"/>
      <c r="E87" s="683"/>
      <c r="F87" s="683"/>
      <c r="G87" s="683"/>
      <c r="H87" s="683"/>
      <c r="I87" s="683"/>
      <c r="J87" s="683">
        <v>-7.2727272727272724E-2</v>
      </c>
      <c r="K87" s="70">
        <v>-7.2727272727272724E-2</v>
      </c>
      <c r="L87" s="682">
        <f t="shared" si="36"/>
        <v>-3.4413774577860753E-8</v>
      </c>
    </row>
    <row r="88" spans="1:12" x14ac:dyDescent="0.25">
      <c r="A88" s="55" t="s">
        <v>34</v>
      </c>
      <c r="C88" s="683">
        <v>134.29999999999998</v>
      </c>
      <c r="D88" s="683"/>
      <c r="E88" s="683">
        <v>55.336363636363636</v>
      </c>
      <c r="F88" s="683">
        <v>394.69090909090909</v>
      </c>
      <c r="G88" s="683">
        <v>202.85454545454542</v>
      </c>
      <c r="H88" s="683">
        <v>11.736363636363636</v>
      </c>
      <c r="I88" s="683">
        <v>718.93636363636335</v>
      </c>
      <c r="J88" s="683">
        <v>483.57272727272738</v>
      </c>
      <c r="K88" s="70">
        <v>2001.4272727272728</v>
      </c>
      <c r="L88" s="682">
        <f t="shared" si="36"/>
        <v>9.4705417121726131E-4</v>
      </c>
    </row>
    <row r="89" spans="1:12" x14ac:dyDescent="0.25">
      <c r="A89" s="55" t="s">
        <v>35</v>
      </c>
      <c r="B89" s="54">
        <v>0.12727272727272729</v>
      </c>
      <c r="C89" s="683">
        <v>1002.9818181818181</v>
      </c>
      <c r="D89" s="683"/>
      <c r="E89" s="683">
        <v>163.03636363636366</v>
      </c>
      <c r="F89" s="683">
        <v>1616.5454545454543</v>
      </c>
      <c r="G89" s="683">
        <v>566.21818181818185</v>
      </c>
      <c r="H89" s="683">
        <v>311.05454545454552</v>
      </c>
      <c r="I89" s="683">
        <v>69.090909090909093</v>
      </c>
      <c r="J89" s="683">
        <v>77.700000000000017</v>
      </c>
      <c r="K89" s="70">
        <v>3806.7545454545452</v>
      </c>
      <c r="L89" s="682">
        <f t="shared" si="36"/>
        <v>1.8013159010071432E-3</v>
      </c>
    </row>
    <row r="90" spans="1:12" x14ac:dyDescent="0.25">
      <c r="A90" s="55" t="s">
        <v>30</v>
      </c>
      <c r="C90" s="683">
        <v>2.7454545454545451</v>
      </c>
      <c r="D90" s="683"/>
      <c r="E90" s="683">
        <v>6.7454545454545451</v>
      </c>
      <c r="F90" s="683">
        <v>153.90909090909093</v>
      </c>
      <c r="G90" s="683">
        <v>20.43636363636363</v>
      </c>
      <c r="H90" s="683">
        <v>22.636363636363633</v>
      </c>
      <c r="I90" s="683">
        <v>0.48181818181818181</v>
      </c>
      <c r="J90" s="683">
        <v>9.0909090909090912E-2</v>
      </c>
      <c r="K90" s="70">
        <v>207.04545454545456</v>
      </c>
      <c r="L90" s="682">
        <f t="shared" si="36"/>
        <v>9.7971714501347344E-5</v>
      </c>
    </row>
    <row r="91" spans="1:12" x14ac:dyDescent="0.25">
      <c r="A91" s="55" t="s">
        <v>29</v>
      </c>
      <c r="B91" s="54">
        <v>1.3727272727272728</v>
      </c>
      <c r="C91" s="683">
        <v>55.090909090909065</v>
      </c>
      <c r="D91" s="683"/>
      <c r="E91" s="683"/>
      <c r="F91" s="683"/>
      <c r="G91" s="683"/>
      <c r="H91" s="683"/>
      <c r="I91" s="683">
        <v>620.28181818181804</v>
      </c>
      <c r="J91" s="683">
        <v>1115.3545454545447</v>
      </c>
      <c r="K91" s="70">
        <v>1792.099999999999</v>
      </c>
      <c r="L91" s="682">
        <f t="shared" si="36"/>
        <v>8.4800272453853316E-4</v>
      </c>
    </row>
    <row r="93" spans="1:12" x14ac:dyDescent="0.25">
      <c r="C93" s="56">
        <f>SUM(C85:C91)</f>
        <v>2236.1272727272726</v>
      </c>
      <c r="D93" s="56">
        <f t="shared" ref="D93:K93" si="37">SUM(D85:D91)</f>
        <v>0</v>
      </c>
      <c r="E93" s="56">
        <f t="shared" si="37"/>
        <v>369.08181818181822</v>
      </c>
      <c r="F93" s="56">
        <f t="shared" si="37"/>
        <v>4186.7363636363643</v>
      </c>
      <c r="G93" s="56">
        <f t="shared" si="37"/>
        <v>1265.9000000000001</v>
      </c>
      <c r="H93" s="56">
        <f t="shared" si="37"/>
        <v>712.52727272727259</v>
      </c>
      <c r="I93" s="56">
        <f t="shared" si="37"/>
        <v>1479.6090909090904</v>
      </c>
      <c r="J93" s="56">
        <f t="shared" si="37"/>
        <v>1767.4454545454539</v>
      </c>
      <c r="K93" s="56">
        <f t="shared" si="37"/>
        <v>12019.054545454544</v>
      </c>
      <c r="L93" s="56"/>
    </row>
  </sheetData>
  <mergeCells count="4">
    <mergeCell ref="C1:N1"/>
    <mergeCell ref="C43:N43"/>
    <mergeCell ref="C58:N58"/>
    <mergeCell ref="C51:N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111B2-B9AA-43E5-9CBF-D89BE167FEA7}">
  <sheetPr codeName="Sheet4"/>
  <dimension ref="A1:O115"/>
  <sheetViews>
    <sheetView showGridLines="0" workbookViewId="0">
      <selection activeCell="C5" sqref="C5"/>
    </sheetView>
  </sheetViews>
  <sheetFormatPr defaultRowHeight="15" x14ac:dyDescent="0.25"/>
  <cols>
    <col min="1" max="1" width="19.7109375" customWidth="1"/>
    <col min="2" max="2" width="11.85546875" hidden="1" customWidth="1"/>
    <col min="3" max="12" width="14" customWidth="1"/>
    <col min="13" max="13" width="15.28515625" customWidth="1"/>
  </cols>
  <sheetData>
    <row r="1" spans="1:12" ht="34.5" customHeight="1" x14ac:dyDescent="0.35">
      <c r="A1" s="716" t="s">
        <v>50</v>
      </c>
      <c r="B1" s="717"/>
      <c r="C1" s="717"/>
      <c r="D1" s="717"/>
      <c r="E1" s="717"/>
      <c r="F1" s="717"/>
      <c r="G1" s="717"/>
      <c r="H1" s="717"/>
      <c r="I1" s="717"/>
      <c r="J1" s="717"/>
      <c r="K1" s="717"/>
      <c r="L1" s="717"/>
    </row>
    <row r="2" spans="1:12" ht="29.1" customHeight="1" x14ac:dyDescent="0.25">
      <c r="A2" s="91" t="s">
        <v>51</v>
      </c>
      <c r="C2" s="80" t="s">
        <v>2</v>
      </c>
      <c r="D2" s="80" t="s">
        <v>3</v>
      </c>
      <c r="E2" s="82" t="s">
        <v>4</v>
      </c>
      <c r="F2" s="82" t="s">
        <v>5</v>
      </c>
      <c r="G2" s="25" t="s">
        <v>6</v>
      </c>
      <c r="H2" s="27" t="s">
        <v>7</v>
      </c>
      <c r="I2" s="25" t="s">
        <v>8</v>
      </c>
      <c r="J2" s="27" t="s">
        <v>44</v>
      </c>
      <c r="K2" s="23" t="s">
        <v>10</v>
      </c>
      <c r="L2" s="21" t="s">
        <v>11</v>
      </c>
    </row>
    <row r="3" spans="1:12" x14ac:dyDescent="0.25">
      <c r="A3" s="29" t="s">
        <v>12</v>
      </c>
      <c r="B3" t="s">
        <v>52</v>
      </c>
      <c r="C3" s="95" t="s">
        <v>53</v>
      </c>
      <c r="D3" s="95" t="s">
        <v>53</v>
      </c>
      <c r="E3" s="95" t="s">
        <v>53</v>
      </c>
      <c r="F3" s="95" t="s">
        <v>53</v>
      </c>
      <c r="G3" s="76" t="s">
        <v>53</v>
      </c>
      <c r="H3" s="57" t="s">
        <v>53</v>
      </c>
      <c r="I3" s="57" t="s">
        <v>53</v>
      </c>
      <c r="J3" s="57" t="s">
        <v>53</v>
      </c>
      <c r="K3" s="95" t="s">
        <v>53</v>
      </c>
      <c r="L3" s="58" t="s">
        <v>14</v>
      </c>
    </row>
    <row r="4" spans="1:12" x14ac:dyDescent="0.25">
      <c r="A4" s="275" t="s">
        <v>15</v>
      </c>
      <c r="B4" s="73">
        <v>0.32727272727272722</v>
      </c>
      <c r="C4" s="11">
        <v>59549.25</v>
      </c>
      <c r="D4" s="11">
        <v>65026.41</v>
      </c>
      <c r="E4" s="74">
        <v>16134.75</v>
      </c>
      <c r="F4" s="11">
        <v>103319.73</v>
      </c>
      <c r="G4" s="74">
        <v>169330</v>
      </c>
      <c r="H4" s="11">
        <v>20841</v>
      </c>
      <c r="I4" s="74">
        <v>55261.54</v>
      </c>
      <c r="J4" s="11">
        <v>54948.93</v>
      </c>
      <c r="K4" s="96">
        <f>SUM(C4:J4)</f>
        <v>544411.61</v>
      </c>
      <c r="L4" s="78">
        <f>K4/$K$34</f>
        <v>0.47621920143801838</v>
      </c>
    </row>
    <row r="5" spans="1:12" x14ac:dyDescent="0.25">
      <c r="A5" s="9" t="s">
        <v>54</v>
      </c>
      <c r="C5" s="12">
        <f>C4/$K$4</f>
        <v>0.10938277014334798</v>
      </c>
      <c r="D5" s="12">
        <f t="shared" ref="D5:K5" si="0">D4/$K$4</f>
        <v>0.11944346668139573</v>
      </c>
      <c r="E5" s="5">
        <f t="shared" si="0"/>
        <v>2.9637042457636053E-2</v>
      </c>
      <c r="F5" s="12">
        <f t="shared" si="0"/>
        <v>0.18978237807970333</v>
      </c>
      <c r="G5" s="5">
        <f t="shared" si="0"/>
        <v>0.31103304354585681</v>
      </c>
      <c r="H5" s="12">
        <f t="shared" si="0"/>
        <v>3.8281696453901858E-2</v>
      </c>
      <c r="I5" s="5">
        <f t="shared" si="0"/>
        <v>0.10150690945036973</v>
      </c>
      <c r="J5" s="12">
        <f t="shared" si="0"/>
        <v>0.10093269318778855</v>
      </c>
      <c r="K5" s="5">
        <f t="shared" si="0"/>
        <v>1</v>
      </c>
      <c r="L5" s="12"/>
    </row>
    <row r="6" spans="1:12" x14ac:dyDescent="0.25">
      <c r="A6" s="102" t="s">
        <v>55</v>
      </c>
      <c r="B6" s="103"/>
      <c r="C6" s="104">
        <f>C4/'MSF By Card'!C4</f>
        <v>1.0851139802309802</v>
      </c>
      <c r="D6" s="104">
        <f>D4/'MSF By Card'!D4</f>
        <v>0.20730997179121041</v>
      </c>
      <c r="E6" s="104">
        <f>E4/'MSF By Card'!E4</f>
        <v>0.43481730701857979</v>
      </c>
      <c r="F6" s="104">
        <f>F4/'MSF By Card'!F4</f>
        <v>0.47821677592974327</v>
      </c>
      <c r="G6" s="104">
        <f>G4/'MSF By Card'!G4</f>
        <v>0.66733234019715082</v>
      </c>
      <c r="H6" s="104">
        <f>H4/'MSF By Card'!H4</f>
        <v>0.39993733615506732</v>
      </c>
      <c r="I6" s="104">
        <f>I4/'MSF By Card'!I4</f>
        <v>2.0242827909454957</v>
      </c>
      <c r="J6" s="104">
        <f>J4/'MSF By Card'!J4</f>
        <v>2.143053722221218</v>
      </c>
      <c r="K6" s="104">
        <f>K4/'MSF By Card'!K4</f>
        <v>0.55523859605142389</v>
      </c>
      <c r="L6" s="104"/>
    </row>
    <row r="7" spans="1:12" x14ac:dyDescent="0.25">
      <c r="A7" s="275" t="s">
        <v>17</v>
      </c>
      <c r="B7" s="73"/>
      <c r="C7" s="11">
        <v>501.43</v>
      </c>
      <c r="D7" s="11">
        <v>2696.34</v>
      </c>
      <c r="E7" s="74">
        <v>648.61</v>
      </c>
      <c r="F7" s="11">
        <v>3775.44</v>
      </c>
      <c r="G7" s="74">
        <v>3615.17</v>
      </c>
      <c r="H7" s="11">
        <v>711.62</v>
      </c>
      <c r="I7" s="74">
        <v>318.8</v>
      </c>
      <c r="J7" s="11">
        <v>483.56</v>
      </c>
      <c r="K7" s="96">
        <f>SUM(C7:J7)</f>
        <v>12750.97</v>
      </c>
      <c r="L7" s="78">
        <f>K7/$K$34</f>
        <v>1.1153797309649823E-2</v>
      </c>
    </row>
    <row r="8" spans="1:12" x14ac:dyDescent="0.25">
      <c r="A8" s="9" t="s">
        <v>54</v>
      </c>
      <c r="C8" s="12">
        <f>C7/$K$7</f>
        <v>3.9324851364249153E-2</v>
      </c>
      <c r="D8" s="12">
        <f t="shared" ref="D8:K8" si="1">D7/$K$7</f>
        <v>0.21146155939508918</v>
      </c>
      <c r="E8" s="5">
        <f t="shared" si="1"/>
        <v>5.086750262921174E-2</v>
      </c>
      <c r="F8" s="12">
        <f t="shared" si="1"/>
        <v>0.29609041508214673</v>
      </c>
      <c r="G8" s="5">
        <f t="shared" si="1"/>
        <v>0.28352117525176518</v>
      </c>
      <c r="H8" s="12">
        <f t="shared" si="1"/>
        <v>5.580908746550263E-2</v>
      </c>
      <c r="I8" s="5">
        <f t="shared" si="1"/>
        <v>2.5002019454206232E-2</v>
      </c>
      <c r="J8" s="12">
        <f t="shared" si="1"/>
        <v>3.7923389357829247E-2</v>
      </c>
      <c r="K8" s="5">
        <f t="shared" si="1"/>
        <v>1</v>
      </c>
      <c r="L8" s="12"/>
    </row>
    <row r="9" spans="1:12" x14ac:dyDescent="0.25">
      <c r="A9" s="102" t="s">
        <v>55</v>
      </c>
      <c r="B9" s="103"/>
      <c r="C9" s="104">
        <f>C7/'MSF By Card'!C6</f>
        <v>1.1718143190992136</v>
      </c>
      <c r="D9" s="104">
        <f>D7/'MSF By Card'!D6</f>
        <v>0.18395576587919354</v>
      </c>
      <c r="E9" s="104">
        <f>E7/'MSF By Card'!E6</f>
        <v>0.43992810413185435</v>
      </c>
      <c r="F9" s="104">
        <f>F7/'MSF By Card'!F6</f>
        <v>0.44217466019603557</v>
      </c>
      <c r="G9" s="104">
        <f>G7/'MSF By Card'!G6</f>
        <v>0.70841236870982893</v>
      </c>
      <c r="H9" s="104">
        <f>H7/'MSF By Card'!H6</f>
        <v>0.37529281471289061</v>
      </c>
      <c r="I9" s="104">
        <f>I7/'MSF By Card'!I6</f>
        <v>2.2876899993476409</v>
      </c>
      <c r="J9" s="104">
        <f>J7/'MSF By Card'!J6</f>
        <v>2.1298790742372065</v>
      </c>
      <c r="K9" s="104">
        <f>K7/'MSF By Card'!K6</f>
        <v>0.39277359955710278</v>
      </c>
      <c r="L9" s="104"/>
    </row>
    <row r="10" spans="1:12" x14ac:dyDescent="0.25">
      <c r="A10" s="275" t="s">
        <v>18</v>
      </c>
      <c r="B10" s="73">
        <v>2.7272727272727268E-2</v>
      </c>
      <c r="C10" s="11">
        <v>58306.29</v>
      </c>
      <c r="D10" s="11">
        <v>33089</v>
      </c>
      <c r="E10" s="74">
        <v>11330</v>
      </c>
      <c r="F10" s="11">
        <v>59926</v>
      </c>
      <c r="G10" s="74">
        <v>140277</v>
      </c>
      <c r="H10" s="11">
        <v>15971</v>
      </c>
      <c r="I10" s="74">
        <v>37170</v>
      </c>
      <c r="J10" s="11">
        <v>30719</v>
      </c>
      <c r="K10" s="96">
        <f>SUM(C10:J10)</f>
        <v>386788.29000000004</v>
      </c>
      <c r="L10" s="78">
        <f>K10/$K$34</f>
        <v>0.33833960776364908</v>
      </c>
    </row>
    <row r="11" spans="1:12" x14ac:dyDescent="0.25">
      <c r="A11" s="9" t="s">
        <v>54</v>
      </c>
      <c r="C11" s="12">
        <f>C10/$K$10</f>
        <v>0.15074471360030056</v>
      </c>
      <c r="D11" s="12">
        <f t="shared" ref="D11:K11" si="2">D10/$K$10</f>
        <v>8.5548091437825061E-2</v>
      </c>
      <c r="E11" s="5">
        <f t="shared" si="2"/>
        <v>2.9292510380808063E-2</v>
      </c>
      <c r="F11" s="12">
        <f t="shared" si="2"/>
        <v>0.15493230159579027</v>
      </c>
      <c r="G11" s="5">
        <f t="shared" si="2"/>
        <v>0.36267126908107788</v>
      </c>
      <c r="H11" s="12">
        <f t="shared" si="2"/>
        <v>4.1291322444120523E-2</v>
      </c>
      <c r="I11" s="5">
        <f t="shared" si="2"/>
        <v>9.6099083041009323E-2</v>
      </c>
      <c r="J11" s="12">
        <f t="shared" si="2"/>
        <v>7.9420708419068217E-2</v>
      </c>
      <c r="K11" s="5">
        <f t="shared" si="2"/>
        <v>1</v>
      </c>
      <c r="L11" s="12"/>
    </row>
    <row r="12" spans="1:12" x14ac:dyDescent="0.25">
      <c r="A12" s="105" t="s">
        <v>55</v>
      </c>
      <c r="B12" s="106"/>
      <c r="C12" s="107">
        <f>C10/'MSF By Card'!C8</f>
        <v>1.1028337689684402</v>
      </c>
      <c r="D12" s="107">
        <f>D10/'MSF By Card'!D8</f>
        <v>0.1607797632328386</v>
      </c>
      <c r="E12" s="107">
        <f>E10/'MSF By Card'!E8</f>
        <v>0.37895165728637425</v>
      </c>
      <c r="F12" s="107">
        <f>F10/'MSF By Card'!F8</f>
        <v>0.40069432464491411</v>
      </c>
      <c r="G12" s="107">
        <f>G10/'MSF By Card'!G8</f>
        <v>0.68253874030275996</v>
      </c>
      <c r="H12" s="107">
        <f>H10/'MSF By Card'!H8</f>
        <v>0.3383262881187834</v>
      </c>
      <c r="I12" s="107">
        <f>I10/'MSF By Card'!I8</f>
        <v>2.027850395258977</v>
      </c>
      <c r="J12" s="107">
        <f>J10/'MSF By Card'!J8</f>
        <v>2.0088472532019432</v>
      </c>
      <c r="K12" s="107">
        <f>K10/'MSF By Card'!K8</f>
        <v>0.5338863581179899</v>
      </c>
      <c r="L12" s="107"/>
    </row>
    <row r="13" spans="1:12" x14ac:dyDescent="0.25">
      <c r="A13" s="275" t="s">
        <v>19</v>
      </c>
      <c r="B13" s="73">
        <v>5.4545454545454536E-2</v>
      </c>
      <c r="C13" s="11">
        <v>3551.69</v>
      </c>
      <c r="D13" s="11">
        <v>7933.87</v>
      </c>
      <c r="E13" s="74">
        <v>1719.42</v>
      </c>
      <c r="F13" s="11">
        <v>13031</v>
      </c>
      <c r="G13" s="74">
        <v>17021</v>
      </c>
      <c r="H13" s="11">
        <v>2180.58</v>
      </c>
      <c r="I13" s="74">
        <v>4669.1000000000004</v>
      </c>
      <c r="J13" s="11">
        <v>4630</v>
      </c>
      <c r="K13" s="96">
        <f>SUM(C13:J13)</f>
        <v>54736.659999999996</v>
      </c>
      <c r="L13" s="78">
        <f>K13/$K$34</f>
        <v>4.788040525914633E-2</v>
      </c>
    </row>
    <row r="14" spans="1:12" x14ac:dyDescent="0.25">
      <c r="A14" s="9" t="s">
        <v>54</v>
      </c>
      <c r="C14" s="12">
        <f>C13/$K$13</f>
        <v>6.488686010436151E-2</v>
      </c>
      <c r="D14" s="12">
        <f t="shared" ref="D14:K14" si="3">D13/$K$13</f>
        <v>0.14494618414788188</v>
      </c>
      <c r="E14" s="5">
        <f t="shared" si="3"/>
        <v>3.1412585276485633E-2</v>
      </c>
      <c r="F14" s="12">
        <f t="shared" si="3"/>
        <v>0.23806713818490205</v>
      </c>
      <c r="G14" s="5">
        <f t="shared" si="3"/>
        <v>0.3109616114684382</v>
      </c>
      <c r="H14" s="12">
        <f t="shared" si="3"/>
        <v>3.983765176757223E-2</v>
      </c>
      <c r="I14" s="5">
        <f t="shared" si="3"/>
        <v>8.5301149174977081E-2</v>
      </c>
      <c r="J14" s="12">
        <f t="shared" si="3"/>
        <v>8.4586819875381511E-2</v>
      </c>
      <c r="K14" s="5">
        <f t="shared" si="3"/>
        <v>1</v>
      </c>
      <c r="L14" s="12"/>
    </row>
    <row r="15" spans="1:12" x14ac:dyDescent="0.25">
      <c r="A15" s="105" t="s">
        <v>55</v>
      </c>
      <c r="B15" s="106"/>
      <c r="C15" s="107">
        <f>C13/'MSF By Card'!C10</f>
        <v>1.0611706707590347</v>
      </c>
      <c r="D15" s="107">
        <f>D13/'MSF By Card'!D10</f>
        <v>0.2370073965204092</v>
      </c>
      <c r="E15" s="107">
        <f>E13/'MSF By Card'!E10</f>
        <v>0.41996576080077946</v>
      </c>
      <c r="F15" s="107">
        <f>F13/'MSF By Card'!F10</f>
        <v>0.45631050035271975</v>
      </c>
      <c r="G15" s="107">
        <f>G13/'MSF By Card'!G10</f>
        <v>0.63266882567453231</v>
      </c>
      <c r="H15" s="107">
        <f>H13/'MSF By Card'!H10</f>
        <v>0.38402416883603419</v>
      </c>
      <c r="I15" s="107">
        <f>I13/'MSF By Card'!I10</f>
        <v>2.1312659761643968</v>
      </c>
      <c r="J15" s="107">
        <f>J13/'MSF By Card'!J10</f>
        <v>2.0067060941926496</v>
      </c>
      <c r="K15" s="107">
        <f>K13/'MSF By Card'!K10</f>
        <v>0.51370141149811277</v>
      </c>
      <c r="L15" s="107"/>
    </row>
    <row r="16" spans="1:12" x14ac:dyDescent="0.25">
      <c r="A16" s="275" t="s">
        <v>20</v>
      </c>
      <c r="B16" s="73"/>
      <c r="C16" s="11">
        <v>183.9</v>
      </c>
      <c r="D16" s="11">
        <v>429.37</v>
      </c>
      <c r="E16" s="74">
        <v>160.05000000000001</v>
      </c>
      <c r="F16" s="11">
        <v>548.6</v>
      </c>
      <c r="G16" s="74">
        <v>1520.96</v>
      </c>
      <c r="H16" s="11">
        <v>153.30000000000001</v>
      </c>
      <c r="I16" s="74">
        <v>109.32</v>
      </c>
      <c r="J16" s="11">
        <v>100.36</v>
      </c>
      <c r="K16" s="96">
        <f>SUM(C16:J16)</f>
        <v>3205.8600000000006</v>
      </c>
      <c r="L16" s="78">
        <f>K16/$K$34</f>
        <v>2.8042974489873311E-3</v>
      </c>
    </row>
    <row r="17" spans="1:12" x14ac:dyDescent="0.25">
      <c r="A17" s="9" t="s">
        <v>54</v>
      </c>
      <c r="C17" s="12">
        <f>C16/$K$16</f>
        <v>5.7363702719395102E-2</v>
      </c>
      <c r="D17" s="12">
        <f t="shared" ref="D17:K17" si="4">D16/$K$16</f>
        <v>0.13393286044930219</v>
      </c>
      <c r="E17" s="5">
        <f t="shared" si="4"/>
        <v>4.9924201306357725E-2</v>
      </c>
      <c r="F17" s="12">
        <f t="shared" si="4"/>
        <v>0.17112412893888065</v>
      </c>
      <c r="G17" s="5">
        <f t="shared" si="4"/>
        <v>0.47443119786890248</v>
      </c>
      <c r="H17" s="12">
        <f t="shared" si="4"/>
        <v>4.7818682038516962E-2</v>
      </c>
      <c r="I17" s="5">
        <f t="shared" si="4"/>
        <v>3.4100054275607784E-2</v>
      </c>
      <c r="J17" s="12">
        <f t="shared" si="4"/>
        <v>3.1305172403036929E-2</v>
      </c>
      <c r="K17" s="5">
        <f t="shared" si="4"/>
        <v>1</v>
      </c>
      <c r="L17" s="12"/>
    </row>
    <row r="18" spans="1:12" x14ac:dyDescent="0.25">
      <c r="A18" s="105" t="s">
        <v>55</v>
      </c>
      <c r="B18" s="106"/>
      <c r="C18" s="107">
        <f>C16/'MSF By Card'!C12</f>
        <v>1.3722949596363887</v>
      </c>
      <c r="D18" s="107">
        <f>D16/'MSF By Card'!D12</f>
        <v>0.19883010654913005</v>
      </c>
      <c r="E18" s="107">
        <f>E16/'MSF By Card'!E12</f>
        <v>0.52880485387318676</v>
      </c>
      <c r="F18" s="107">
        <f>F16/'MSF By Card'!F12</f>
        <v>0.50243951176460788</v>
      </c>
      <c r="G18" s="107">
        <f>G16/'MSF By Card'!G12</f>
        <v>0.89062927532991598</v>
      </c>
      <c r="H18" s="107">
        <f>H16/'MSF By Card'!H12</f>
        <v>0.47154721624115647</v>
      </c>
      <c r="I18" s="107">
        <f>I16/'MSF By Card'!I12</f>
        <v>2.5766445253910435</v>
      </c>
      <c r="J18" s="107">
        <f>J16/'MSF By Card'!J12</f>
        <v>2.3114740368509219</v>
      </c>
      <c r="K18" s="107">
        <f>K16/'MSF By Card'!K12</f>
        <v>0.55209585150719087</v>
      </c>
      <c r="L18" s="107"/>
    </row>
    <row r="19" spans="1:12" x14ac:dyDescent="0.25">
      <c r="A19" s="275" t="s">
        <v>21</v>
      </c>
      <c r="B19" s="73"/>
      <c r="C19" s="11">
        <v>2674.91</v>
      </c>
      <c r="D19" s="11">
        <v>7125.88</v>
      </c>
      <c r="E19" s="74">
        <v>1602</v>
      </c>
      <c r="F19" s="11">
        <v>8601</v>
      </c>
      <c r="G19" s="74">
        <v>13801</v>
      </c>
      <c r="H19" s="11">
        <v>1975</v>
      </c>
      <c r="I19" s="74">
        <v>2135</v>
      </c>
      <c r="J19" s="11">
        <v>2324</v>
      </c>
      <c r="K19" s="96">
        <f>SUM(C19:J19)</f>
        <v>40238.79</v>
      </c>
      <c r="L19" s="78">
        <f>K19/$K$34</f>
        <v>3.5198522751254555E-2</v>
      </c>
    </row>
    <row r="20" spans="1:12" x14ac:dyDescent="0.25">
      <c r="A20" s="9" t="s">
        <v>54</v>
      </c>
      <c r="C20" s="12">
        <f>C19/$K$19</f>
        <v>6.6475905463360102E-2</v>
      </c>
      <c r="D20" s="12">
        <f t="shared" ref="D20:K20" si="5">D19/$K$19</f>
        <v>0.1770898180586444</v>
      </c>
      <c r="E20" s="5">
        <f t="shared" si="5"/>
        <v>3.9812330340947132E-2</v>
      </c>
      <c r="F20" s="12">
        <f t="shared" si="5"/>
        <v>0.21374897207396146</v>
      </c>
      <c r="G20" s="5">
        <f t="shared" si="5"/>
        <v>0.34297751000962007</v>
      </c>
      <c r="H20" s="12">
        <f t="shared" si="5"/>
        <v>4.9081992773639567E-2</v>
      </c>
      <c r="I20" s="5">
        <f t="shared" si="5"/>
        <v>5.3058255479352133E-2</v>
      </c>
      <c r="J20" s="12">
        <f t="shared" si="5"/>
        <v>5.7755215800475115E-2</v>
      </c>
      <c r="K20" s="5">
        <f t="shared" si="5"/>
        <v>1</v>
      </c>
      <c r="L20" s="12"/>
    </row>
    <row r="21" spans="1:12" x14ac:dyDescent="0.25">
      <c r="A21" s="102" t="s">
        <v>55</v>
      </c>
      <c r="B21" s="103"/>
      <c r="C21" s="104">
        <f>C19/'MSF By Card'!C14</f>
        <v>1.1513317551307884</v>
      </c>
      <c r="D21" s="104">
        <f>D19/'MSF By Card'!D14</f>
        <v>0.19438803168945804</v>
      </c>
      <c r="E21" s="107">
        <f>E19/'MSF By Card'!E14</f>
        <v>0.41706013078392257</v>
      </c>
      <c r="F21" s="104">
        <f>F19/'MSF By Card'!F14</f>
        <v>0.44220046271412189</v>
      </c>
      <c r="G21" s="107">
        <f>G19/'MSF By Card'!G14</f>
        <v>0.68150088121824515</v>
      </c>
      <c r="H21" s="104">
        <f>H19/'MSF By Card'!H14</f>
        <v>0.37512712881408056</v>
      </c>
      <c r="I21" s="107">
        <f>I19/'MSF By Card'!I14</f>
        <v>2.0418543184545026</v>
      </c>
      <c r="J21" s="104">
        <f>J19/'MSF By Card'!J14</f>
        <v>1.9996558251591816</v>
      </c>
      <c r="K21" s="107">
        <f>K19/'MSF By Card'!K14</f>
        <v>0.44711478348514566</v>
      </c>
      <c r="L21" s="104"/>
    </row>
    <row r="22" spans="1:12" x14ac:dyDescent="0.25">
      <c r="A22" s="275" t="s">
        <v>22</v>
      </c>
      <c r="B22" s="73"/>
      <c r="C22" s="11">
        <v>1287.78</v>
      </c>
      <c r="D22" s="11">
        <v>2084.09</v>
      </c>
      <c r="E22" s="74">
        <v>505.36</v>
      </c>
      <c r="F22" s="11">
        <v>2954.1</v>
      </c>
      <c r="G22" s="74">
        <v>5217.2</v>
      </c>
      <c r="H22" s="11">
        <v>639.89</v>
      </c>
      <c r="I22" s="74">
        <v>1148.68</v>
      </c>
      <c r="J22" s="11">
        <v>1210.47</v>
      </c>
      <c r="K22" s="96">
        <f>SUM(C22:J22)</f>
        <v>15047.569999999998</v>
      </c>
      <c r="L22" s="78">
        <f>K22/$K$34</f>
        <v>1.3162727681326784E-2</v>
      </c>
    </row>
    <row r="23" spans="1:12" x14ac:dyDescent="0.25">
      <c r="A23" s="9" t="s">
        <v>54</v>
      </c>
      <c r="C23" s="12">
        <f>C22/$K$22</f>
        <v>8.5580595405105292E-2</v>
      </c>
      <c r="D23" s="12">
        <f t="shared" ref="D23:K23" si="6">D22/$K$22</f>
        <v>0.13850010333894447</v>
      </c>
      <c r="E23" s="5">
        <f t="shared" si="6"/>
        <v>3.3584160100268684E-2</v>
      </c>
      <c r="F23" s="12">
        <f t="shared" si="6"/>
        <v>0.1963174120472608</v>
      </c>
      <c r="G23" s="5">
        <f t="shared" si="6"/>
        <v>0.34671378833924682</v>
      </c>
      <c r="H23" s="12">
        <f t="shared" si="6"/>
        <v>4.2524474051292005E-2</v>
      </c>
      <c r="I23" s="5">
        <f t="shared" si="6"/>
        <v>7.6336577932516692E-2</v>
      </c>
      <c r="J23" s="12">
        <f t="shared" si="6"/>
        <v>8.044288878536536E-2</v>
      </c>
      <c r="K23" s="5">
        <f t="shared" si="6"/>
        <v>1</v>
      </c>
      <c r="L23" s="12"/>
    </row>
    <row r="24" spans="1:12" x14ac:dyDescent="0.25">
      <c r="A24" s="102" t="s">
        <v>55</v>
      </c>
      <c r="B24" s="103"/>
      <c r="C24" s="104">
        <f>C22/'MSF By Card'!C16</f>
        <v>1.2143972841136079</v>
      </c>
      <c r="D24" s="104">
        <f>D22/'MSF By Card'!D16</f>
        <v>0.19952748737123185</v>
      </c>
      <c r="E24" s="107">
        <f>E22/'MSF By Card'!E16</f>
        <v>0.41055228135478067</v>
      </c>
      <c r="F24" s="104">
        <f>F22/'MSF By Card'!F16</f>
        <v>0.45856488472057189</v>
      </c>
      <c r="G24" s="107">
        <f>G22/'MSF By Card'!G16</f>
        <v>0.60338040726379627</v>
      </c>
      <c r="H24" s="104">
        <f>H22/'MSF By Card'!H16</f>
        <v>0.35132292826090211</v>
      </c>
      <c r="I24" s="107">
        <f>I22/'MSF By Card'!I16</f>
        <v>2.0310684605616385</v>
      </c>
      <c r="J24" s="104">
        <f>J22/'MSF By Card'!J16</f>
        <v>2.0668669088199683</v>
      </c>
      <c r="K24" s="107">
        <f>K22/'MSF By Card'!K16</f>
        <v>0.48859337654981133</v>
      </c>
      <c r="L24" s="104"/>
    </row>
    <row r="25" spans="1:12" x14ac:dyDescent="0.25">
      <c r="A25" s="275" t="s">
        <v>23</v>
      </c>
      <c r="B25" s="73">
        <v>0.21818181818181814</v>
      </c>
      <c r="C25" s="11">
        <v>3655.3</v>
      </c>
      <c r="D25" s="11">
        <v>14219.75</v>
      </c>
      <c r="E25" s="74">
        <v>2749.12</v>
      </c>
      <c r="F25" s="11">
        <v>20047.8</v>
      </c>
      <c r="G25" s="74">
        <v>21395</v>
      </c>
      <c r="H25" s="11">
        <v>4083.48</v>
      </c>
      <c r="I25" s="74">
        <v>3647.08</v>
      </c>
      <c r="J25" s="11">
        <v>3835.72</v>
      </c>
      <c r="K25" s="96">
        <f>SUM(C25:J25)</f>
        <v>73633.25</v>
      </c>
      <c r="L25" s="78">
        <f>K25/$K$34</f>
        <v>6.4410028864531316E-2</v>
      </c>
    </row>
    <row r="26" spans="1:12" x14ac:dyDescent="0.25">
      <c r="A26" s="9" t="s">
        <v>54</v>
      </c>
      <c r="C26" s="12">
        <f t="shared" ref="C26:K26" si="7">C25/$K$25</f>
        <v>4.9641975602054779E-2</v>
      </c>
      <c r="D26" s="12">
        <f t="shared" si="7"/>
        <v>0.19311588175179012</v>
      </c>
      <c r="E26" s="5">
        <f t="shared" si="7"/>
        <v>3.7335307079342551E-2</v>
      </c>
      <c r="F26" s="12">
        <f t="shared" si="7"/>
        <v>0.27226558653869004</v>
      </c>
      <c r="G26" s="5">
        <f t="shared" si="7"/>
        <v>0.29056166881130469</v>
      </c>
      <c r="H26" s="12">
        <f t="shared" si="7"/>
        <v>5.5457011608206888E-2</v>
      </c>
      <c r="I26" s="5">
        <f t="shared" si="7"/>
        <v>4.9530341252083804E-2</v>
      </c>
      <c r="J26" s="12">
        <f t="shared" si="7"/>
        <v>5.2092227356527111E-2</v>
      </c>
      <c r="K26" s="5">
        <f t="shared" si="7"/>
        <v>1</v>
      </c>
      <c r="L26" s="12"/>
    </row>
    <row r="27" spans="1:12" x14ac:dyDescent="0.25">
      <c r="A27" s="102" t="s">
        <v>55</v>
      </c>
      <c r="B27" s="103"/>
      <c r="C27" s="104"/>
      <c r="D27" s="104"/>
      <c r="E27" s="108"/>
      <c r="F27" s="104"/>
      <c r="G27" s="108"/>
      <c r="H27" s="104"/>
      <c r="I27" s="108"/>
      <c r="J27" s="104"/>
      <c r="K27" s="108"/>
      <c r="L27" s="104"/>
    </row>
    <row r="28" spans="1:12" x14ac:dyDescent="0.25">
      <c r="A28" s="275" t="s">
        <v>24</v>
      </c>
      <c r="B28" s="73"/>
      <c r="C28" s="11">
        <v>81.290000000000006</v>
      </c>
      <c r="D28" s="11">
        <v>482.99</v>
      </c>
      <c r="E28" s="74">
        <v>111.29</v>
      </c>
      <c r="F28" s="11">
        <v>536.76</v>
      </c>
      <c r="G28" s="74">
        <v>791.65</v>
      </c>
      <c r="H28" s="11">
        <v>142.38</v>
      </c>
      <c r="I28" s="74">
        <v>28.91</v>
      </c>
      <c r="J28" s="11">
        <v>17.010000000000002</v>
      </c>
      <c r="K28" s="96">
        <f>SUM(C28:J28)</f>
        <v>2192.2800000000002</v>
      </c>
      <c r="L28" s="78">
        <f>K28/$K$34</f>
        <v>1.917677381877545E-3</v>
      </c>
    </row>
    <row r="29" spans="1:12" x14ac:dyDescent="0.25">
      <c r="A29" s="9" t="s">
        <v>54</v>
      </c>
      <c r="C29" s="12">
        <f t="shared" ref="C29:K29" si="8">C28/$K$28</f>
        <v>3.7080117503238634E-2</v>
      </c>
      <c r="D29" s="12">
        <f t="shared" si="8"/>
        <v>0.22031401098399839</v>
      </c>
      <c r="E29" s="5">
        <f t="shared" si="8"/>
        <v>5.0764500884923458E-2</v>
      </c>
      <c r="F29" s="12">
        <f t="shared" si="8"/>
        <v>0.2448409874651048</v>
      </c>
      <c r="G29" s="5">
        <f t="shared" si="8"/>
        <v>0.36110807013702623</v>
      </c>
      <c r="H29" s="12">
        <f t="shared" si="8"/>
        <v>6.4946083529476159E-2</v>
      </c>
      <c r="I29" s="5">
        <f t="shared" si="8"/>
        <v>1.3187184118816938E-2</v>
      </c>
      <c r="J29" s="12">
        <f t="shared" si="8"/>
        <v>7.7590453774152935E-3</v>
      </c>
      <c r="K29" s="5">
        <f t="shared" si="8"/>
        <v>1</v>
      </c>
      <c r="L29" s="12"/>
    </row>
    <row r="30" spans="1:12" x14ac:dyDescent="0.25">
      <c r="A30" s="105" t="s">
        <v>55</v>
      </c>
      <c r="B30" s="103"/>
      <c r="C30" s="104">
        <f>C28/'MSF By Card'!C20</f>
        <v>1.1854567148349466</v>
      </c>
      <c r="D30" s="104">
        <f>D28/'MSF By Card'!D20</f>
        <v>0.18668379053595838</v>
      </c>
      <c r="E30" s="107">
        <f>E28/'MSF By Card'!E20</f>
        <v>0.40314496476322215</v>
      </c>
      <c r="F30" s="104">
        <f>F28/'MSF By Card'!F20</f>
        <v>0.42012551765358835</v>
      </c>
      <c r="G30" s="107">
        <f>G28/'MSF By Card'!G20</f>
        <v>0.68547060351545619</v>
      </c>
      <c r="H30" s="104">
        <f>H28/'MSF By Card'!H20</f>
        <v>0.42972617022444171</v>
      </c>
      <c r="I30" s="107">
        <f>I28/'MSF By Card'!I20</f>
        <v>1.8360854503464206</v>
      </c>
      <c r="J30" s="104">
        <f>J28/'MSF By Card'!J20</f>
        <v>2.1384000000000003</v>
      </c>
      <c r="K30" s="107">
        <f>K28/'MSF By Card'!K20</f>
        <v>0.38330715970575341</v>
      </c>
      <c r="L30" s="104"/>
    </row>
    <row r="31" spans="1:12" x14ac:dyDescent="0.25">
      <c r="A31" s="277" t="s">
        <v>25</v>
      </c>
      <c r="B31" s="73"/>
      <c r="C31" s="99">
        <f>C47</f>
        <v>2142.5699999999997</v>
      </c>
      <c r="D31" s="99">
        <f t="shared" ref="D31:J31" si="9">D47</f>
        <v>0</v>
      </c>
      <c r="E31" s="99">
        <f t="shared" si="9"/>
        <v>251.15545454545455</v>
      </c>
      <c r="F31" s="99">
        <f t="shared" si="9"/>
        <v>2986.9818181818187</v>
      </c>
      <c r="G31" s="99">
        <f t="shared" si="9"/>
        <v>1298.7572727272727</v>
      </c>
      <c r="H31" s="99">
        <f t="shared" si="9"/>
        <v>622.91454545454542</v>
      </c>
      <c r="I31" s="99">
        <f t="shared" si="9"/>
        <v>1540.8772727272728</v>
      </c>
      <c r="J31" s="99">
        <f t="shared" si="9"/>
        <v>1346.8836363636365</v>
      </c>
      <c r="K31" s="96">
        <f>SUM(C31:J31)</f>
        <v>10190.140000000001</v>
      </c>
      <c r="L31" s="78">
        <f>K31/$K$34</f>
        <v>8.9137341015589466E-3</v>
      </c>
    </row>
    <row r="32" spans="1:12" x14ac:dyDescent="0.25">
      <c r="A32" s="9" t="s">
        <v>54</v>
      </c>
      <c r="C32" s="12">
        <f>C31/$K$31</f>
        <v>0.21025913284802755</v>
      </c>
      <c r="D32" s="12">
        <f t="shared" ref="D32:K32" si="10">D31/$K$31</f>
        <v>0</v>
      </c>
      <c r="E32" s="12">
        <f t="shared" si="10"/>
        <v>2.4646909124453099E-2</v>
      </c>
      <c r="F32" s="12">
        <f t="shared" si="10"/>
        <v>0.29312470860869611</v>
      </c>
      <c r="G32" s="12">
        <f t="shared" si="10"/>
        <v>0.12745234832173774</v>
      </c>
      <c r="H32" s="12">
        <f t="shared" si="10"/>
        <v>6.112914498275248E-2</v>
      </c>
      <c r="I32" s="12">
        <f t="shared" si="10"/>
        <v>0.15121257143937891</v>
      </c>
      <c r="J32" s="12">
        <f t="shared" si="10"/>
        <v>0.13217518467495407</v>
      </c>
      <c r="K32" s="12">
        <f t="shared" si="10"/>
        <v>1</v>
      </c>
      <c r="L32" s="72"/>
    </row>
    <row r="33" spans="1:15" x14ac:dyDescent="0.25">
      <c r="A33" s="105" t="s">
        <v>55</v>
      </c>
      <c r="B33" s="103"/>
      <c r="C33" s="108">
        <f>C31/'MSF By Card'!C22</f>
        <v>0.95816102514899937</v>
      </c>
      <c r="D33" s="108" t="e">
        <f>D31/'MSF By Card'!D22</f>
        <v>#DIV/0!</v>
      </c>
      <c r="E33" s="108">
        <f>E31/'MSF By Card'!E22</f>
        <v>0.68048720411832797</v>
      </c>
      <c r="F33" s="108">
        <f>F31/'MSF By Card'!F22</f>
        <v>0.71343919433883196</v>
      </c>
      <c r="G33" s="108">
        <f>G31/'MSF By Card'!G22</f>
        <v>1.0259556621591537</v>
      </c>
      <c r="H33" s="108">
        <f>H31/'MSF By Card'!H22</f>
        <v>0.87423256526065996</v>
      </c>
      <c r="I33" s="108">
        <f>I31/'MSF By Card'!I22</f>
        <v>1.0414083572442356</v>
      </c>
      <c r="J33" s="108">
        <f>J31/'MSF By Card'!J22</f>
        <v>0.76205103410674913</v>
      </c>
      <c r="K33" s="108">
        <f>K31/'MSF By Card'!K22</f>
        <v>0.84783207875978761</v>
      </c>
      <c r="L33" s="109"/>
    </row>
    <row r="34" spans="1:15" x14ac:dyDescent="0.25">
      <c r="A34" s="83" t="s">
        <v>10</v>
      </c>
      <c r="B34" s="100">
        <v>1.227272727272728</v>
      </c>
      <c r="C34" s="94">
        <f>SUM(C31+C28+C25+C22+C19+C16+C13+C10+C7+C4)</f>
        <v>131934.40999999997</v>
      </c>
      <c r="D34" s="94">
        <f t="shared" ref="D34:J34" si="11">SUM(D31+D28+D25+D22+D19+D16+D13+D10+D7+D4)</f>
        <v>133087.70000000001</v>
      </c>
      <c r="E34" s="94">
        <f t="shared" si="11"/>
        <v>35211.755454545455</v>
      </c>
      <c r="F34" s="94">
        <f t="shared" si="11"/>
        <v>215727.4118181818</v>
      </c>
      <c r="G34" s="94">
        <f t="shared" si="11"/>
        <v>374267.7372727273</v>
      </c>
      <c r="H34" s="94">
        <f t="shared" si="11"/>
        <v>47321.164545454551</v>
      </c>
      <c r="I34" s="94">
        <f t="shared" si="11"/>
        <v>106029.30727272728</v>
      </c>
      <c r="J34" s="94">
        <f t="shared" si="11"/>
        <v>99615.933636363625</v>
      </c>
      <c r="K34" s="94">
        <f>SUM(K4,K7,K10,K13,K16,K19,K22,K25,K28,K31)</f>
        <v>1143195.42</v>
      </c>
      <c r="L34" s="101">
        <f>K34/$K$34</f>
        <v>1</v>
      </c>
      <c r="M34" s="71">
        <f>SUM(C34:J34)</f>
        <v>1143195.42</v>
      </c>
    </row>
    <row r="35" spans="1:15" x14ac:dyDescent="0.25">
      <c r="A35" s="129" t="s">
        <v>54</v>
      </c>
      <c r="B35" s="42"/>
      <c r="C35" s="89">
        <f>C34/$K$34</f>
        <v>0.11540844871474379</v>
      </c>
      <c r="D35" s="89">
        <f t="shared" ref="D35:K35" si="12">D34/$K$34</f>
        <v>0.11641727885858746</v>
      </c>
      <c r="E35" s="89">
        <f t="shared" si="12"/>
        <v>3.080116910768017E-2</v>
      </c>
      <c r="F35" s="89">
        <f t="shared" si="12"/>
        <v>0.18870562988975395</v>
      </c>
      <c r="G35" s="89">
        <f t="shared" si="12"/>
        <v>0.32738736590873269</v>
      </c>
      <c r="H35" s="89">
        <f t="shared" si="12"/>
        <v>4.1393766732773084E-2</v>
      </c>
      <c r="I35" s="89">
        <f t="shared" si="12"/>
        <v>9.2748191094683782E-2</v>
      </c>
      <c r="J35" s="89">
        <f t="shared" si="12"/>
        <v>8.7138149693045161E-2</v>
      </c>
      <c r="K35" s="89">
        <f t="shared" si="12"/>
        <v>1</v>
      </c>
      <c r="L35" s="75"/>
    </row>
    <row r="36" spans="1:15" x14ac:dyDescent="0.25">
      <c r="A36" s="105" t="s">
        <v>55</v>
      </c>
      <c r="B36" s="106"/>
      <c r="C36" s="117">
        <f>C34/'MSF By Card'!C24</f>
        <v>1.0953842302187118</v>
      </c>
      <c r="D36" s="117">
        <f>D34/'MSF By Card'!D24</f>
        <v>0.20043463052305024</v>
      </c>
      <c r="E36" s="117">
        <f>E34/'MSF By Card'!E24</f>
        <v>0.41988491926092864</v>
      </c>
      <c r="F36" s="117">
        <f>F34/'MSF By Card'!F24</f>
        <v>0.46033366351372912</v>
      </c>
      <c r="G36" s="117">
        <f>G34/'MSF By Card'!G24</f>
        <v>0.67837338722692042</v>
      </c>
      <c r="H36" s="117">
        <f>H34/'MSF By Card'!H24</f>
        <v>0.38401200933846552</v>
      </c>
      <c r="I36" s="117">
        <f>I34/'MSF By Card'!I24</f>
        <v>2.0117233806653352</v>
      </c>
      <c r="J36" s="117">
        <f>J34/'MSF By Card'!J24</f>
        <v>2.0440994277772861</v>
      </c>
      <c r="K36" s="117">
        <f>K34/'MSF By Card'!K24</f>
        <v>0.54094795538193918</v>
      </c>
      <c r="L36" s="110"/>
    </row>
    <row r="37" spans="1:15" x14ac:dyDescent="0.25">
      <c r="L37" s="116">
        <f>SUM(L4:L33)</f>
        <v>1</v>
      </c>
      <c r="O37">
        <v>259085</v>
      </c>
    </row>
    <row r="38" spans="1:15" x14ac:dyDescent="0.25">
      <c r="L38" s="69"/>
    </row>
    <row r="39" spans="1:15" x14ac:dyDescent="0.25">
      <c r="A39" s="1" t="s">
        <v>31</v>
      </c>
      <c r="C39" s="69"/>
      <c r="D39" s="69"/>
      <c r="E39" s="69">
        <v>0.14545454545454545</v>
      </c>
      <c r="F39" s="69">
        <v>1.0818181818181818</v>
      </c>
      <c r="G39" s="69">
        <v>2.627272727272727</v>
      </c>
      <c r="H39" s="69"/>
      <c r="I39" s="69">
        <v>2.0272727272727269</v>
      </c>
      <c r="J39" s="69">
        <v>5.6363636363636358</v>
      </c>
      <c r="K39" s="70">
        <f>SUM(C39:J39)</f>
        <v>11.518181818181816</v>
      </c>
      <c r="L39" s="69"/>
    </row>
    <row r="40" spans="1:15" x14ac:dyDescent="0.25">
      <c r="A40" s="1" t="s">
        <v>32</v>
      </c>
      <c r="B40">
        <v>2.7272727272727268E-2</v>
      </c>
      <c r="C40" s="69">
        <v>1103.46</v>
      </c>
      <c r="D40" s="69"/>
      <c r="E40" s="69">
        <v>105.9</v>
      </c>
      <c r="F40" s="69">
        <v>1502.39</v>
      </c>
      <c r="G40" s="69">
        <v>498.51</v>
      </c>
      <c r="H40" s="69">
        <v>332.74</v>
      </c>
      <c r="I40" s="69">
        <v>152.47</v>
      </c>
      <c r="J40" s="69">
        <v>105.06</v>
      </c>
      <c r="K40" s="70">
        <f t="shared" ref="K40:K45" si="13">SUM(C40:J40)</f>
        <v>3800.5299999999997</v>
      </c>
      <c r="L40" s="69"/>
    </row>
    <row r="41" spans="1:15" x14ac:dyDescent="0.25">
      <c r="A41" s="1" t="s">
        <v>33</v>
      </c>
      <c r="C41" s="69"/>
      <c r="D41" s="69"/>
      <c r="E41" s="69"/>
      <c r="F41" s="69"/>
      <c r="G41" s="69"/>
      <c r="H41" s="69"/>
      <c r="I41" s="69"/>
      <c r="J41" s="69">
        <v>2.7272727272727268E-2</v>
      </c>
      <c r="K41" s="70">
        <f t="shared" si="13"/>
        <v>2.7272727272727268E-2</v>
      </c>
      <c r="L41" s="69"/>
    </row>
    <row r="42" spans="1:15" x14ac:dyDescent="0.25">
      <c r="A42" s="1" t="s">
        <v>34</v>
      </c>
      <c r="C42" s="69">
        <v>118.02</v>
      </c>
      <c r="D42" s="69"/>
      <c r="E42" s="69">
        <v>21.64</v>
      </c>
      <c r="F42" s="69">
        <v>70.94</v>
      </c>
      <c r="G42" s="69">
        <v>110.42</v>
      </c>
      <c r="H42" s="69">
        <v>1.8545454545454545</v>
      </c>
      <c r="I42" s="69">
        <v>972.06</v>
      </c>
      <c r="J42" s="69">
        <v>601.84</v>
      </c>
      <c r="K42" s="70">
        <f t="shared" si="13"/>
        <v>1896.7745454545457</v>
      </c>
    </row>
    <row r="43" spans="1:15" x14ac:dyDescent="0.25">
      <c r="A43" s="1" t="s">
        <v>35</v>
      </c>
      <c r="B43">
        <v>5.4545454545454536E-2</v>
      </c>
      <c r="C43" s="69">
        <v>882.12</v>
      </c>
      <c r="D43" s="69"/>
      <c r="E43" s="69">
        <v>98.9</v>
      </c>
      <c r="F43" s="69">
        <v>947.46</v>
      </c>
      <c r="G43" s="69">
        <v>631.04999999999995</v>
      </c>
      <c r="H43" s="69">
        <v>213.7</v>
      </c>
      <c r="I43" s="69">
        <v>99.18</v>
      </c>
      <c r="J43" s="69">
        <v>47</v>
      </c>
      <c r="K43" s="70">
        <f t="shared" si="13"/>
        <v>2919.4099999999994</v>
      </c>
    </row>
    <row r="44" spans="1:15" x14ac:dyDescent="0.25">
      <c r="A44" s="1" t="s">
        <v>29</v>
      </c>
      <c r="B44">
        <v>0.51818181818181841</v>
      </c>
      <c r="C44" s="69">
        <v>26.16</v>
      </c>
      <c r="D44" s="69"/>
      <c r="E44" s="69"/>
      <c r="F44" s="69"/>
      <c r="G44" s="69"/>
      <c r="H44" s="69"/>
      <c r="I44" s="69">
        <v>313.68</v>
      </c>
      <c r="J44" s="69">
        <v>584.28</v>
      </c>
      <c r="K44" s="70">
        <f t="shared" si="13"/>
        <v>924.12</v>
      </c>
    </row>
    <row r="45" spans="1:15" x14ac:dyDescent="0.25">
      <c r="A45" s="1" t="s">
        <v>30</v>
      </c>
      <c r="C45" s="69">
        <v>12.81</v>
      </c>
      <c r="D45" s="69"/>
      <c r="E45" s="69">
        <v>24.57</v>
      </c>
      <c r="F45" s="69">
        <v>465.11</v>
      </c>
      <c r="G45" s="69">
        <v>56.15</v>
      </c>
      <c r="H45" s="69">
        <v>74.62</v>
      </c>
      <c r="I45" s="69">
        <v>1.46</v>
      </c>
      <c r="J45" s="69">
        <v>3.04</v>
      </c>
      <c r="K45" s="70">
        <f t="shared" si="13"/>
        <v>637.76</v>
      </c>
    </row>
    <row r="47" spans="1:15" x14ac:dyDescent="0.25">
      <c r="C47" s="71">
        <f>SUM(C39:C45)</f>
        <v>2142.5699999999997</v>
      </c>
      <c r="D47" s="71">
        <f t="shared" ref="D47:J47" si="14">SUM(D39:D45)</f>
        <v>0</v>
      </c>
      <c r="E47" s="71">
        <f t="shared" si="14"/>
        <v>251.15545454545455</v>
      </c>
      <c r="F47" s="71">
        <f t="shared" si="14"/>
        <v>2986.9818181818187</v>
      </c>
      <c r="G47" s="71">
        <f t="shared" si="14"/>
        <v>1298.7572727272727</v>
      </c>
      <c r="H47" s="71">
        <f t="shared" si="14"/>
        <v>622.91454545454542</v>
      </c>
      <c r="I47" s="71">
        <f t="shared" si="14"/>
        <v>1540.8772727272728</v>
      </c>
      <c r="J47" s="71">
        <f t="shared" si="14"/>
        <v>1346.8836363636365</v>
      </c>
      <c r="K47" s="71">
        <f t="shared" ref="K47" si="15">SUM(K39:K45)</f>
        <v>10190.140000000001</v>
      </c>
    </row>
    <row r="48" spans="1:15" x14ac:dyDescent="0.25">
      <c r="A48" s="276" t="s">
        <v>56</v>
      </c>
    </row>
    <row r="53" spans="1:12" ht="21" x14ac:dyDescent="0.35">
      <c r="A53" s="716" t="s">
        <v>57</v>
      </c>
      <c r="B53" s="717"/>
      <c r="C53" s="717"/>
      <c r="D53" s="717"/>
      <c r="E53" s="717"/>
      <c r="F53" s="717"/>
      <c r="G53" s="717"/>
      <c r="H53" s="717"/>
      <c r="I53" s="717"/>
      <c r="J53" s="717"/>
      <c r="K53" s="717"/>
      <c r="L53" s="717"/>
    </row>
    <row r="54" spans="1:12" ht="27" x14ac:dyDescent="0.25">
      <c r="A54" s="524" t="s">
        <v>51</v>
      </c>
      <c r="B54" s="525"/>
      <c r="C54" s="526" t="s">
        <v>2</v>
      </c>
      <c r="D54" s="526" t="s">
        <v>3</v>
      </c>
      <c r="E54" s="527" t="s">
        <v>4</v>
      </c>
      <c r="F54" s="527" t="s">
        <v>5</v>
      </c>
      <c r="G54" s="500" t="s">
        <v>6</v>
      </c>
      <c r="H54" s="501" t="s">
        <v>7</v>
      </c>
      <c r="I54" s="500" t="s">
        <v>8</v>
      </c>
      <c r="J54" s="501" t="s">
        <v>44</v>
      </c>
      <c r="K54" s="499" t="s">
        <v>10</v>
      </c>
      <c r="L54" s="502" t="s">
        <v>11</v>
      </c>
    </row>
    <row r="55" spans="1:12" x14ac:dyDescent="0.25">
      <c r="A55" s="510" t="s">
        <v>12</v>
      </c>
      <c r="B55" s="525" t="s">
        <v>52</v>
      </c>
      <c r="C55" s="528" t="s">
        <v>53</v>
      </c>
      <c r="D55" s="528" t="s">
        <v>53</v>
      </c>
      <c r="E55" s="528" t="s">
        <v>53</v>
      </c>
      <c r="F55" s="528" t="s">
        <v>53</v>
      </c>
      <c r="G55" s="529" t="s">
        <v>53</v>
      </c>
      <c r="H55" s="521" t="s">
        <v>53</v>
      </c>
      <c r="I55" s="521" t="s">
        <v>53</v>
      </c>
      <c r="J55" s="521" t="s">
        <v>53</v>
      </c>
      <c r="K55" s="528" t="s">
        <v>53</v>
      </c>
      <c r="L55" s="522" t="s">
        <v>14</v>
      </c>
    </row>
    <row r="57" spans="1:12" x14ac:dyDescent="0.25">
      <c r="A57" s="530" t="s">
        <v>10</v>
      </c>
      <c r="B57" s="531">
        <v>1.227272727272728</v>
      </c>
      <c r="C57" s="532">
        <f>C58*$K$57</f>
        <v>29900.597935259393</v>
      </c>
      <c r="D57" s="532">
        <f t="shared" ref="D57:J57" si="16">D58*$K$57</f>
        <v>30161.970693077132</v>
      </c>
      <c r="E57" s="532">
        <f t="shared" si="16"/>
        <v>7980.120898263317</v>
      </c>
      <c r="F57" s="532">
        <f t="shared" si="16"/>
        <v>48890.798119986903</v>
      </c>
      <c r="G57" s="532">
        <f t="shared" si="16"/>
        <v>84821.155696464004</v>
      </c>
      <c r="H57" s="532">
        <f t="shared" si="16"/>
        <v>10724.504053960514</v>
      </c>
      <c r="I57" s="532">
        <f t="shared" si="16"/>
        <v>24029.665089766149</v>
      </c>
      <c r="J57" s="532">
        <f t="shared" si="16"/>
        <v>22576.187513222605</v>
      </c>
      <c r="K57" s="532">
        <v>259085</v>
      </c>
      <c r="L57" s="533"/>
    </row>
    <row r="58" spans="1:12" x14ac:dyDescent="0.25">
      <c r="A58" s="513" t="s">
        <v>54</v>
      </c>
      <c r="B58" s="534"/>
      <c r="C58" s="515">
        <f>C103</f>
        <v>0.11540844871474379</v>
      </c>
      <c r="D58" s="515">
        <f t="shared" ref="D58:J58" si="17">D103</f>
        <v>0.11641727885858746</v>
      </c>
      <c r="E58" s="515">
        <f t="shared" si="17"/>
        <v>3.080116910768017E-2</v>
      </c>
      <c r="F58" s="515">
        <f t="shared" si="17"/>
        <v>0.18870562988975395</v>
      </c>
      <c r="G58" s="515">
        <f t="shared" si="17"/>
        <v>0.32738736590873269</v>
      </c>
      <c r="H58" s="515">
        <f t="shared" si="17"/>
        <v>4.1393766732773084E-2</v>
      </c>
      <c r="I58" s="515">
        <f t="shared" si="17"/>
        <v>9.2748191094683782E-2</v>
      </c>
      <c r="J58" s="515">
        <f t="shared" si="17"/>
        <v>8.7138149693045161E-2</v>
      </c>
      <c r="K58" s="535">
        <f>SUM(C58:J58)</f>
        <v>1</v>
      </c>
      <c r="L58" s="536"/>
    </row>
    <row r="62" spans="1:12" ht="21" x14ac:dyDescent="0.35">
      <c r="A62" s="716" t="s">
        <v>58</v>
      </c>
      <c r="B62" s="717"/>
      <c r="C62" s="717"/>
      <c r="D62" s="717"/>
      <c r="E62" s="717"/>
      <c r="F62" s="717"/>
      <c r="G62" s="717"/>
      <c r="H62" s="717"/>
      <c r="I62" s="717"/>
      <c r="J62" s="717"/>
      <c r="K62" s="717"/>
      <c r="L62" s="717"/>
    </row>
    <row r="63" spans="1:12" ht="27" x14ac:dyDescent="0.25">
      <c r="A63" s="590" t="s">
        <v>51</v>
      </c>
      <c r="B63" s="575"/>
      <c r="C63" s="591" t="s">
        <v>2</v>
      </c>
      <c r="D63" s="591" t="s">
        <v>3</v>
      </c>
      <c r="E63" s="592" t="s">
        <v>4</v>
      </c>
      <c r="F63" s="592" t="s">
        <v>5</v>
      </c>
      <c r="G63" s="566" t="s">
        <v>6</v>
      </c>
      <c r="H63" s="567" t="s">
        <v>7</v>
      </c>
      <c r="I63" s="566" t="s">
        <v>8</v>
      </c>
      <c r="J63" s="567" t="s">
        <v>44</v>
      </c>
      <c r="K63" s="565" t="s">
        <v>10</v>
      </c>
      <c r="L63" s="568" t="s">
        <v>11</v>
      </c>
    </row>
    <row r="64" spans="1:12" x14ac:dyDescent="0.25">
      <c r="A64" s="577" t="s">
        <v>12</v>
      </c>
      <c r="B64" s="575" t="s">
        <v>52</v>
      </c>
      <c r="C64" s="593" t="s">
        <v>53</v>
      </c>
      <c r="D64" s="593" t="s">
        <v>53</v>
      </c>
      <c r="E64" s="593" t="s">
        <v>53</v>
      </c>
      <c r="F64" s="593" t="s">
        <v>53</v>
      </c>
      <c r="G64" s="594" t="s">
        <v>53</v>
      </c>
      <c r="H64" s="588" t="s">
        <v>53</v>
      </c>
      <c r="I64" s="588" t="s">
        <v>53</v>
      </c>
      <c r="J64" s="588" t="s">
        <v>53</v>
      </c>
      <c r="K64" s="593" t="s">
        <v>53</v>
      </c>
      <c r="L64" s="589" t="s">
        <v>14</v>
      </c>
    </row>
    <row r="65" spans="1:12" x14ac:dyDescent="0.25">
      <c r="A65" s="575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</row>
    <row r="66" spans="1:12" x14ac:dyDescent="0.25">
      <c r="A66" s="595" t="s">
        <v>10</v>
      </c>
      <c r="B66" s="596">
        <v>1.227272727272728</v>
      </c>
      <c r="C66" s="597">
        <f>C67*$K$57</f>
        <v>6777663.5999999996</v>
      </c>
      <c r="D66" s="597">
        <f t="shared" ref="D66" si="18">D67*$K$57</f>
        <v>0</v>
      </c>
      <c r="E66" s="597">
        <f t="shared" ref="E66" si="19">E67*$K$57</f>
        <v>0</v>
      </c>
      <c r="F66" s="597">
        <f t="shared" ref="F66" si="20">F67*$K$57</f>
        <v>0</v>
      </c>
      <c r="G66" s="597">
        <f t="shared" ref="G66" si="21">G67*$K$57</f>
        <v>0</v>
      </c>
      <c r="H66" s="597">
        <f t="shared" ref="H66" si="22">H67*$K$57</f>
        <v>0</v>
      </c>
      <c r="I66" s="597">
        <f t="shared" ref="I66" si="23">I67*$K$57</f>
        <v>81269782.799999997</v>
      </c>
      <c r="J66" s="597">
        <f t="shared" ref="J66" si="24">J67*$K$57</f>
        <v>151378183.79999998</v>
      </c>
      <c r="K66" s="597">
        <v>259085</v>
      </c>
      <c r="L66" s="598"/>
    </row>
    <row r="67" spans="1:12" x14ac:dyDescent="0.25">
      <c r="A67" s="580" t="s">
        <v>54</v>
      </c>
      <c r="B67" s="599"/>
      <c r="C67" s="582">
        <f>C112</f>
        <v>26.16</v>
      </c>
      <c r="D67" s="582">
        <f t="shared" ref="D67:J67" si="25">D112</f>
        <v>0</v>
      </c>
      <c r="E67" s="582">
        <f t="shared" si="25"/>
        <v>0</v>
      </c>
      <c r="F67" s="582">
        <f t="shared" si="25"/>
        <v>0</v>
      </c>
      <c r="G67" s="582">
        <f t="shared" si="25"/>
        <v>0</v>
      </c>
      <c r="H67" s="582">
        <f t="shared" si="25"/>
        <v>0</v>
      </c>
      <c r="I67" s="582">
        <f t="shared" si="25"/>
        <v>313.68</v>
      </c>
      <c r="J67" s="582">
        <f t="shared" si="25"/>
        <v>584.28</v>
      </c>
      <c r="K67" s="600">
        <f>SUM(C67:J67)</f>
        <v>924.12</v>
      </c>
      <c r="L67" s="601"/>
    </row>
    <row r="69" spans="1:12" ht="21" x14ac:dyDescent="0.35">
      <c r="A69" s="716" t="s">
        <v>50</v>
      </c>
      <c r="B69" s="717"/>
      <c r="C69" s="717"/>
      <c r="D69" s="717"/>
      <c r="E69" s="717"/>
      <c r="F69" s="717"/>
      <c r="G69" s="717"/>
      <c r="H69" s="717"/>
      <c r="I69" s="717"/>
      <c r="J69" s="717"/>
      <c r="K69" s="717"/>
      <c r="L69" s="717"/>
    </row>
    <row r="70" spans="1:12" ht="27" x14ac:dyDescent="0.25">
      <c r="A70" s="91" t="s">
        <v>51</v>
      </c>
      <c r="C70" s="80" t="s">
        <v>2</v>
      </c>
      <c r="D70" s="80" t="s">
        <v>3</v>
      </c>
      <c r="E70" s="82" t="s">
        <v>4</v>
      </c>
      <c r="F70" s="82" t="s">
        <v>5</v>
      </c>
      <c r="G70" s="25" t="s">
        <v>6</v>
      </c>
      <c r="H70" s="27" t="s">
        <v>7</v>
      </c>
      <c r="I70" s="25" t="s">
        <v>8</v>
      </c>
      <c r="J70" s="27" t="s">
        <v>44</v>
      </c>
      <c r="K70" s="23" t="s">
        <v>10</v>
      </c>
      <c r="L70" s="21" t="s">
        <v>11</v>
      </c>
    </row>
    <row r="71" spans="1:12" x14ac:dyDescent="0.25">
      <c r="A71" s="29" t="s">
        <v>12</v>
      </c>
      <c r="B71" t="s">
        <v>52</v>
      </c>
      <c r="C71" s="95" t="s">
        <v>53</v>
      </c>
      <c r="D71" s="95" t="s">
        <v>53</v>
      </c>
      <c r="E71" s="95" t="s">
        <v>53</v>
      </c>
      <c r="F71" s="95" t="s">
        <v>53</v>
      </c>
      <c r="G71" s="76" t="s">
        <v>53</v>
      </c>
      <c r="H71" s="57" t="s">
        <v>53</v>
      </c>
      <c r="I71" s="57" t="s">
        <v>53</v>
      </c>
      <c r="J71" s="57" t="s">
        <v>53</v>
      </c>
      <c r="K71" s="95" t="s">
        <v>53</v>
      </c>
      <c r="L71" s="58" t="s">
        <v>14</v>
      </c>
    </row>
    <row r="72" spans="1:12" x14ac:dyDescent="0.25">
      <c r="A72" s="275" t="s">
        <v>15</v>
      </c>
      <c r="B72" s="73">
        <v>0.32727272727272722</v>
      </c>
      <c r="C72" s="11">
        <v>59549.25</v>
      </c>
      <c r="D72" s="11">
        <v>65026.41</v>
      </c>
      <c r="E72" s="74">
        <v>16134.75</v>
      </c>
      <c r="F72" s="11">
        <v>103319.73</v>
      </c>
      <c r="G72" s="74">
        <v>169330</v>
      </c>
      <c r="H72" s="11">
        <v>20841</v>
      </c>
      <c r="I72" s="74">
        <v>55261.54</v>
      </c>
      <c r="J72" s="11">
        <v>54948.93</v>
      </c>
      <c r="K72" s="96">
        <f>SUM(C72:J72)</f>
        <v>544411.61</v>
      </c>
      <c r="L72" s="78">
        <f>K72/$K$34</f>
        <v>0.47621920143801838</v>
      </c>
    </row>
    <row r="73" spans="1:12" x14ac:dyDescent="0.25">
      <c r="A73" s="9" t="s">
        <v>54</v>
      </c>
      <c r="C73" s="12">
        <f>C72/$K$4</f>
        <v>0.10938277014334798</v>
      </c>
      <c r="D73" s="12">
        <f t="shared" ref="D73:K73" si="26">D72/$K$4</f>
        <v>0.11944346668139573</v>
      </c>
      <c r="E73" s="5">
        <f t="shared" si="26"/>
        <v>2.9637042457636053E-2</v>
      </c>
      <c r="F73" s="12">
        <f t="shared" si="26"/>
        <v>0.18978237807970333</v>
      </c>
      <c r="G73" s="5">
        <f t="shared" si="26"/>
        <v>0.31103304354585681</v>
      </c>
      <c r="H73" s="12">
        <f t="shared" si="26"/>
        <v>3.8281696453901858E-2</v>
      </c>
      <c r="I73" s="5">
        <f t="shared" si="26"/>
        <v>0.10150690945036973</v>
      </c>
      <c r="J73" s="12">
        <f t="shared" si="26"/>
        <v>0.10093269318778855</v>
      </c>
      <c r="K73" s="5">
        <f t="shared" si="26"/>
        <v>1</v>
      </c>
      <c r="L73" s="12"/>
    </row>
    <row r="74" spans="1:12" x14ac:dyDescent="0.25">
      <c r="A74" s="102" t="s">
        <v>55</v>
      </c>
      <c r="B74" s="103"/>
      <c r="C74" s="104">
        <f>C72/'MSF By Card'!C72</f>
        <v>2306712.6008422505</v>
      </c>
      <c r="D74" s="104">
        <f>D72/'MSF By Card'!D72</f>
        <v>159641.8231185959</v>
      </c>
      <c r="E74" s="104">
        <f>E72/'MSF By Card'!E72</f>
        <v>378028.27718274947</v>
      </c>
      <c r="F74" s="104">
        <f>F72/'MSF By Card'!F72</f>
        <v>478056.67959259148</v>
      </c>
      <c r="G74" s="104">
        <f>G72/'MSF By Card'!G72</f>
        <v>752515.85965241492</v>
      </c>
      <c r="H74" s="104">
        <f>H72/'MSF By Card'!H72</f>
        <v>356250.76840367669</v>
      </c>
      <c r="I74" s="104">
        <f>I72/'MSF By Card'!I72</f>
        <v>4756371.192998833</v>
      </c>
      <c r="J74" s="104">
        <f>J72/'MSF By Card'!J72</f>
        <v>4255045.9266557936</v>
      </c>
      <c r="K74" s="104">
        <f>K72/'MSF By Card'!K72</f>
        <v>544411.61</v>
      </c>
      <c r="L74" s="104"/>
    </row>
    <row r="75" spans="1:12" x14ac:dyDescent="0.25">
      <c r="A75" s="275" t="s">
        <v>17</v>
      </c>
      <c r="B75" s="73"/>
      <c r="C75" s="11">
        <v>501.43</v>
      </c>
      <c r="D75" s="11">
        <v>2696.34</v>
      </c>
      <c r="E75" s="74">
        <v>648.61</v>
      </c>
      <c r="F75" s="11">
        <v>3775.44</v>
      </c>
      <c r="G75" s="74">
        <v>3615.17</v>
      </c>
      <c r="H75" s="11">
        <v>711.62</v>
      </c>
      <c r="I75" s="74">
        <v>318.8</v>
      </c>
      <c r="J75" s="11">
        <v>483.56</v>
      </c>
      <c r="K75" s="96">
        <f>SUM(C75:J75)</f>
        <v>12750.97</v>
      </c>
      <c r="L75" s="78">
        <f>K75/$K$34</f>
        <v>1.1153797309649823E-2</v>
      </c>
    </row>
    <row r="76" spans="1:12" x14ac:dyDescent="0.25">
      <c r="A76" s="9" t="s">
        <v>54</v>
      </c>
      <c r="C76" s="12">
        <f>C75/$K$7</f>
        <v>3.9324851364249153E-2</v>
      </c>
      <c r="D76" s="12">
        <f t="shared" ref="D76:K76" si="27">D75/$K$7</f>
        <v>0.21146155939508918</v>
      </c>
      <c r="E76" s="5">
        <f t="shared" si="27"/>
        <v>5.086750262921174E-2</v>
      </c>
      <c r="F76" s="12">
        <f t="shared" si="27"/>
        <v>0.29609041508214673</v>
      </c>
      <c r="G76" s="5">
        <f t="shared" si="27"/>
        <v>0.28352117525176518</v>
      </c>
      <c r="H76" s="12">
        <f t="shared" si="27"/>
        <v>5.580908746550263E-2</v>
      </c>
      <c r="I76" s="5">
        <f t="shared" si="27"/>
        <v>2.5002019454206232E-2</v>
      </c>
      <c r="J76" s="12">
        <f t="shared" si="27"/>
        <v>3.7923389357829247E-2</v>
      </c>
      <c r="K76" s="5">
        <f t="shared" si="27"/>
        <v>1</v>
      </c>
      <c r="L76" s="12"/>
    </row>
    <row r="77" spans="1:12" x14ac:dyDescent="0.25">
      <c r="A77" s="102" t="s">
        <v>55</v>
      </c>
      <c r="B77" s="103"/>
      <c r="C77" s="104">
        <f>C75/'MSF By Card'!C74</f>
        <v>14562.911895976751</v>
      </c>
      <c r="D77" s="104">
        <f>D75/'MSF By Card'!D74</f>
        <v>7950.2304087334342</v>
      </c>
      <c r="E77" s="104">
        <f>E75/'MSF By Card'!E74</f>
        <v>16228.18847661039</v>
      </c>
      <c r="F77" s="104">
        <f>F75/'MSF By Card'!F74</f>
        <v>18049.36685281093</v>
      </c>
      <c r="G77" s="104">
        <f>G75/'MSF By Card'!G74</f>
        <v>12876.601028116091</v>
      </c>
      <c r="H77" s="104">
        <f>H75/'MSF By Card'!H74</f>
        <v>12032.839200303466</v>
      </c>
      <c r="I77" s="104">
        <f>I75/'MSF By Card'!I74</f>
        <v>17360.5153236566</v>
      </c>
      <c r="J77" s="104">
        <f>J75/'MSF By Card'!J74</f>
        <v>25428.904311570583</v>
      </c>
      <c r="K77" s="104">
        <f>K75/'MSF By Card'!K74</f>
        <v>12750.97</v>
      </c>
      <c r="L77" s="104"/>
    </row>
    <row r="78" spans="1:12" x14ac:dyDescent="0.25">
      <c r="A78" s="275" t="s">
        <v>18</v>
      </c>
      <c r="B78" s="73">
        <v>2.7272727272727268E-2</v>
      </c>
      <c r="C78" s="11">
        <v>58306.29</v>
      </c>
      <c r="D78" s="11">
        <v>33089</v>
      </c>
      <c r="E78" s="74">
        <v>11330</v>
      </c>
      <c r="F78" s="11">
        <v>59926</v>
      </c>
      <c r="G78" s="74">
        <v>140277</v>
      </c>
      <c r="H78" s="11">
        <v>15971</v>
      </c>
      <c r="I78" s="74">
        <v>37170</v>
      </c>
      <c r="J78" s="11">
        <v>30719</v>
      </c>
      <c r="K78" s="96">
        <f>SUM(C78:J78)</f>
        <v>386788.29000000004</v>
      </c>
      <c r="L78" s="78">
        <f>K78/$K$34</f>
        <v>0.33833960776364908</v>
      </c>
    </row>
    <row r="79" spans="1:12" x14ac:dyDescent="0.25">
      <c r="A79" s="9" t="s">
        <v>54</v>
      </c>
      <c r="C79" s="12">
        <f>C78/$K$10</f>
        <v>0.15074471360030056</v>
      </c>
      <c r="D79" s="12">
        <f t="shared" ref="D79:K79" si="28">D78/$K$10</f>
        <v>8.5548091437825061E-2</v>
      </c>
      <c r="E79" s="5">
        <f t="shared" si="28"/>
        <v>2.9292510380808063E-2</v>
      </c>
      <c r="F79" s="12">
        <f t="shared" si="28"/>
        <v>0.15493230159579027</v>
      </c>
      <c r="G79" s="5">
        <f t="shared" si="28"/>
        <v>0.36267126908107788</v>
      </c>
      <c r="H79" s="12">
        <f t="shared" si="28"/>
        <v>4.1291322444120523E-2</v>
      </c>
      <c r="I79" s="5">
        <f t="shared" si="28"/>
        <v>9.6099083041009323E-2</v>
      </c>
      <c r="J79" s="12">
        <f t="shared" si="28"/>
        <v>7.9420708419068217E-2</v>
      </c>
      <c r="K79" s="5">
        <f t="shared" si="28"/>
        <v>1</v>
      </c>
      <c r="L79" s="12"/>
    </row>
    <row r="80" spans="1:12" x14ac:dyDescent="0.25">
      <c r="A80" s="105" t="s">
        <v>55</v>
      </c>
      <c r="B80" s="106"/>
      <c r="C80" s="107">
        <f>C78/'MSF By Card'!C76</f>
        <v>2350311.5453904062</v>
      </c>
      <c r="D80" s="107">
        <f>D78/'MSF By Card'!D76</f>
        <v>92847.358405195788</v>
      </c>
      <c r="E80" s="107">
        <f>E78/'MSF By Card'!E76</f>
        <v>268868.15993468545</v>
      </c>
      <c r="F80" s="107">
        <f>F78/'MSF By Card'!F76</f>
        <v>223705.17628483276</v>
      </c>
      <c r="G80" s="107">
        <f>G78/'MSF By Card'!G76</f>
        <v>639482.00962817296</v>
      </c>
      <c r="H80" s="107">
        <f>H78/'MSF By Card'!H76</f>
        <v>253246.93944203074</v>
      </c>
      <c r="I80" s="107">
        <f>I78/'MSF By Card'!I76</f>
        <v>2907980.1397013646</v>
      </c>
      <c r="J80" s="107">
        <f>J78/'MSF By Card'!J76</f>
        <v>2258341.6710086558</v>
      </c>
      <c r="K80" s="107">
        <f>K78/'MSF By Card'!K76</f>
        <v>386788.29000000004</v>
      </c>
      <c r="L80" s="107"/>
    </row>
    <row r="81" spans="1:12" x14ac:dyDescent="0.25">
      <c r="A81" s="275" t="s">
        <v>19</v>
      </c>
      <c r="B81" s="73">
        <v>5.4545454545454536E-2</v>
      </c>
      <c r="C81" s="11">
        <v>3551.69</v>
      </c>
      <c r="D81" s="11">
        <v>7933.87</v>
      </c>
      <c r="E81" s="74">
        <v>1719.42</v>
      </c>
      <c r="F81" s="11">
        <v>13031</v>
      </c>
      <c r="G81" s="74">
        <v>17021</v>
      </c>
      <c r="H81" s="11">
        <v>2180.58</v>
      </c>
      <c r="I81" s="74">
        <v>4669.1000000000004</v>
      </c>
      <c r="J81" s="11">
        <v>4630</v>
      </c>
      <c r="K81" s="96">
        <f>SUM(C81:J81)</f>
        <v>54736.659999999996</v>
      </c>
      <c r="L81" s="78">
        <f>K81/$K$34</f>
        <v>4.788040525914633E-2</v>
      </c>
    </row>
    <row r="82" spans="1:12" x14ac:dyDescent="0.25">
      <c r="A82" s="9" t="s">
        <v>54</v>
      </c>
      <c r="C82" s="12">
        <f>C81/$K$13</f>
        <v>6.488686010436151E-2</v>
      </c>
      <c r="D82" s="12">
        <f t="shared" ref="D82:K82" si="29">D81/$K$13</f>
        <v>0.14494618414788188</v>
      </c>
      <c r="E82" s="5">
        <f t="shared" si="29"/>
        <v>3.1412585276485633E-2</v>
      </c>
      <c r="F82" s="12">
        <f t="shared" si="29"/>
        <v>0.23806713818490205</v>
      </c>
      <c r="G82" s="5">
        <f t="shared" si="29"/>
        <v>0.3109616114684382</v>
      </c>
      <c r="H82" s="12">
        <f t="shared" si="29"/>
        <v>3.983765176757223E-2</v>
      </c>
      <c r="I82" s="5">
        <f t="shared" si="29"/>
        <v>8.5301149174977081E-2</v>
      </c>
      <c r="J82" s="12">
        <f t="shared" si="29"/>
        <v>8.4586819875381511E-2</v>
      </c>
      <c r="K82" s="5">
        <f t="shared" si="29"/>
        <v>1</v>
      </c>
      <c r="L82" s="12"/>
    </row>
    <row r="83" spans="1:12" x14ac:dyDescent="0.25">
      <c r="A83" s="105" t="s">
        <v>55</v>
      </c>
      <c r="B83" s="106"/>
      <c r="C83" s="107">
        <f>C81/'MSF By Card'!C78</f>
        <v>296232.51134561846</v>
      </c>
      <c r="D83" s="107">
        <f>D81/'MSF By Card'!D78</f>
        <v>17538.911711953562</v>
      </c>
      <c r="E83" s="107">
        <f>E81/'MSF By Card'!E78</f>
        <v>35623.465172890741</v>
      </c>
      <c r="F83" s="107">
        <f>F81/'MSF By Card'!F78</f>
        <v>58334.536509698446</v>
      </c>
      <c r="G83" s="107">
        <f>G81/'MSF By Card'!G78</f>
        <v>84292.664236966637</v>
      </c>
      <c r="H83" s="107">
        <f>H81/'MSF By Card'!H78</f>
        <v>37641.240645338316</v>
      </c>
      <c r="I83" s="107">
        <f>I81/'MSF By Card'!I78</f>
        <v>1696004.7466512702</v>
      </c>
      <c r="J83" s="107">
        <f>J81/'MSF By Card'!J78</f>
        <v>3329007.04</v>
      </c>
      <c r="K83" s="107">
        <f>K81/'MSF By Card'!K78</f>
        <v>54736.659999999996</v>
      </c>
      <c r="L83" s="107"/>
    </row>
    <row r="84" spans="1:12" x14ac:dyDescent="0.25">
      <c r="A84" s="275" t="s">
        <v>20</v>
      </c>
      <c r="B84" s="73"/>
      <c r="C84" s="11">
        <v>183.9</v>
      </c>
      <c r="D84" s="11">
        <v>429.37</v>
      </c>
      <c r="E84" s="74">
        <v>160.05000000000001</v>
      </c>
      <c r="F84" s="11">
        <v>548.6</v>
      </c>
      <c r="G84" s="74">
        <v>1520.96</v>
      </c>
      <c r="H84" s="11">
        <v>153.30000000000001</v>
      </c>
      <c r="I84" s="74">
        <v>109.32</v>
      </c>
      <c r="J84" s="11">
        <v>100.36</v>
      </c>
      <c r="K84" s="96">
        <f>SUM(C84:J84)</f>
        <v>3205.8600000000006</v>
      </c>
      <c r="L84" s="78">
        <f>K84/$K$34</f>
        <v>2.8042974489873311E-3</v>
      </c>
    </row>
    <row r="85" spans="1:12" x14ac:dyDescent="0.25">
      <c r="A85" s="9" t="s">
        <v>54</v>
      </c>
      <c r="C85" s="12">
        <f>C84/$K$16</f>
        <v>5.7363702719395102E-2</v>
      </c>
      <c r="D85" s="12">
        <f t="shared" ref="D85:K85" si="30">D84/$K$16</f>
        <v>0.13393286044930219</v>
      </c>
      <c r="E85" s="5">
        <f t="shared" si="30"/>
        <v>4.9924201306357725E-2</v>
      </c>
      <c r="F85" s="12">
        <f t="shared" si="30"/>
        <v>0.17112412893888065</v>
      </c>
      <c r="G85" s="5">
        <f t="shared" si="30"/>
        <v>0.47443119786890248</v>
      </c>
      <c r="H85" s="12">
        <f t="shared" si="30"/>
        <v>4.7818682038516962E-2</v>
      </c>
      <c r="I85" s="5">
        <f t="shared" si="30"/>
        <v>3.4100054275607784E-2</v>
      </c>
      <c r="J85" s="12">
        <f t="shared" si="30"/>
        <v>3.1305172403036929E-2</v>
      </c>
      <c r="K85" s="5">
        <f t="shared" si="30"/>
        <v>1</v>
      </c>
      <c r="L85" s="12"/>
    </row>
    <row r="86" spans="1:12" x14ac:dyDescent="0.25">
      <c r="A86" s="105" t="s">
        <v>55</v>
      </c>
      <c r="B86" s="106"/>
      <c r="C86" s="107">
        <f>C84/'MSF By Card'!C80</f>
        <v>988.45184613007882</v>
      </c>
      <c r="D86" s="107" t="e">
        <f>D84/'MSF By Card'!D80</f>
        <v>#DIV/0!</v>
      </c>
      <c r="E86" s="107">
        <f>E84/'MSF By Card'!E80</f>
        <v>5211.9871129830781</v>
      </c>
      <c r="F86" s="107">
        <f>F84/'MSF By Card'!F80</f>
        <v>1574.8909773505507</v>
      </c>
      <c r="G86" s="107">
        <f>G84/'MSF By Card'!G80</f>
        <v>14440.715065530092</v>
      </c>
      <c r="H86" s="107">
        <f>H84/'MSF By Card'!H80</f>
        <v>2585.8954910816815</v>
      </c>
      <c r="I86" s="107">
        <f>I84/'MSF By Card'!I80</f>
        <v>888.02039064372059</v>
      </c>
      <c r="J86" s="107">
        <f>J84/'MSF By Card'!J80</f>
        <v>682.47215837958242</v>
      </c>
      <c r="K86" s="107">
        <f>K84/'MSF By Card'!K80</f>
        <v>3205.8600000000006</v>
      </c>
      <c r="L86" s="107"/>
    </row>
    <row r="87" spans="1:12" x14ac:dyDescent="0.25">
      <c r="A87" s="275" t="s">
        <v>21</v>
      </c>
      <c r="B87" s="73"/>
      <c r="C87" s="11">
        <v>2674.91</v>
      </c>
      <c r="D87" s="11">
        <v>7125.88</v>
      </c>
      <c r="E87" s="74">
        <v>1602</v>
      </c>
      <c r="F87" s="11">
        <v>8601</v>
      </c>
      <c r="G87" s="74">
        <v>13801</v>
      </c>
      <c r="H87" s="11">
        <v>1975</v>
      </c>
      <c r="I87" s="74">
        <v>2135</v>
      </c>
      <c r="J87" s="11">
        <v>2324</v>
      </c>
      <c r="K87" s="96">
        <f>SUM(C87:J87)</f>
        <v>40238.79</v>
      </c>
      <c r="L87" s="78">
        <f>K87/$K$34</f>
        <v>3.5198522751254555E-2</v>
      </c>
    </row>
    <row r="88" spans="1:12" x14ac:dyDescent="0.25">
      <c r="A88" s="9" t="s">
        <v>54</v>
      </c>
      <c r="C88" s="12">
        <f>C87/$K$19</f>
        <v>6.6475905463360102E-2</v>
      </c>
      <c r="D88" s="12">
        <f t="shared" ref="D88:K88" si="31">D87/$K$19</f>
        <v>0.1770898180586444</v>
      </c>
      <c r="E88" s="5">
        <f t="shared" si="31"/>
        <v>3.9812330340947132E-2</v>
      </c>
      <c r="F88" s="12">
        <f t="shared" si="31"/>
        <v>0.21374897207396146</v>
      </c>
      <c r="G88" s="5">
        <f t="shared" si="31"/>
        <v>0.34297751000962007</v>
      </c>
      <c r="H88" s="12">
        <f t="shared" si="31"/>
        <v>4.9081992773639567E-2</v>
      </c>
      <c r="I88" s="5">
        <f t="shared" si="31"/>
        <v>5.3058255479352133E-2</v>
      </c>
      <c r="J88" s="12">
        <f t="shared" si="31"/>
        <v>5.7755215800475115E-2</v>
      </c>
      <c r="K88" s="5">
        <f t="shared" si="31"/>
        <v>1</v>
      </c>
      <c r="L88" s="12"/>
    </row>
    <row r="89" spans="1:12" x14ac:dyDescent="0.25">
      <c r="A89" s="102" t="s">
        <v>55</v>
      </c>
      <c r="B89" s="103"/>
      <c r="C89" s="104">
        <f>C87/'MSF By Card'!C82</f>
        <v>46933.459933994433</v>
      </c>
      <c r="D89" s="104">
        <f>D87/'MSF By Card'!D82</f>
        <v>22679.753859290042</v>
      </c>
      <c r="E89" s="107">
        <f>E87/'MSF By Card'!E82</f>
        <v>40371.055446632476</v>
      </c>
      <c r="F89" s="104">
        <f>F87/'MSF By Card'!F82</f>
        <v>38786.567027254023</v>
      </c>
      <c r="G89" s="107">
        <f>G87/'MSF By Card'!G82</f>
        <v>52864.235820810252</v>
      </c>
      <c r="H89" s="104">
        <f>H87/'MSF By Card'!H82</f>
        <v>33870.489627976684</v>
      </c>
      <c r="I89" s="107">
        <f>I87/'MSF By Card'!I82</f>
        <v>85606.198332317988</v>
      </c>
      <c r="J89" s="104">
        <f>J87/'MSF By Card'!J82</f>
        <v>100779.99278449077</v>
      </c>
      <c r="K89" s="107">
        <f>K87/'MSF By Card'!K82</f>
        <v>40238.79</v>
      </c>
      <c r="L89" s="104"/>
    </row>
    <row r="90" spans="1:12" x14ac:dyDescent="0.25">
      <c r="A90" s="275" t="s">
        <v>22</v>
      </c>
      <c r="B90" s="73"/>
      <c r="C90" s="11">
        <v>1287.78</v>
      </c>
      <c r="D90" s="11">
        <v>2084.09</v>
      </c>
      <c r="E90" s="74">
        <v>505.36</v>
      </c>
      <c r="F90" s="11">
        <v>2954.1</v>
      </c>
      <c r="G90" s="74">
        <v>5217.2</v>
      </c>
      <c r="H90" s="11">
        <v>639.89</v>
      </c>
      <c r="I90" s="74">
        <v>1148.68</v>
      </c>
      <c r="J90" s="11">
        <v>1210.47</v>
      </c>
      <c r="K90" s="96">
        <f>SUM(C90:J90)</f>
        <v>15047.569999999998</v>
      </c>
      <c r="L90" s="78">
        <f>K90/$K$34</f>
        <v>1.3162727681326784E-2</v>
      </c>
    </row>
    <row r="91" spans="1:12" x14ac:dyDescent="0.25">
      <c r="A91" s="9" t="s">
        <v>54</v>
      </c>
      <c r="C91" s="12">
        <f>C90/$K$22</f>
        <v>8.5580595405105292E-2</v>
      </c>
      <c r="D91" s="12">
        <f t="shared" ref="D91:K91" si="32">D90/$K$22</f>
        <v>0.13850010333894447</v>
      </c>
      <c r="E91" s="5">
        <f t="shared" si="32"/>
        <v>3.3584160100268684E-2</v>
      </c>
      <c r="F91" s="12">
        <f t="shared" si="32"/>
        <v>0.1963174120472608</v>
      </c>
      <c r="G91" s="5">
        <f t="shared" si="32"/>
        <v>0.34671378833924682</v>
      </c>
      <c r="H91" s="12">
        <f t="shared" si="32"/>
        <v>4.2524474051292005E-2</v>
      </c>
      <c r="I91" s="5">
        <f t="shared" si="32"/>
        <v>7.6336577932516692E-2</v>
      </c>
      <c r="J91" s="12">
        <f t="shared" si="32"/>
        <v>8.044288878536536E-2</v>
      </c>
      <c r="K91" s="5">
        <f t="shared" si="32"/>
        <v>1</v>
      </c>
      <c r="L91" s="12"/>
    </row>
    <row r="92" spans="1:12" x14ac:dyDescent="0.25">
      <c r="A92" s="102" t="s">
        <v>55</v>
      </c>
      <c r="B92" s="103"/>
      <c r="C92" s="104" t="e">
        <f>C90/'MSF By Card'!C84</f>
        <v>#DIV/0!</v>
      </c>
      <c r="D92" s="104" t="e">
        <f>D90/'MSF By Card'!D84</f>
        <v>#DIV/0!</v>
      </c>
      <c r="E92" s="107" t="e">
        <f>E90/'MSF By Card'!E84</f>
        <v>#DIV/0!</v>
      </c>
      <c r="F92" s="104" t="e">
        <f>F90/'MSF By Card'!F84</f>
        <v>#DIV/0!</v>
      </c>
      <c r="G92" s="107" t="e">
        <f>G90/'MSF By Card'!G84</f>
        <v>#DIV/0!</v>
      </c>
      <c r="H92" s="104" t="e">
        <f>H90/'MSF By Card'!H84</f>
        <v>#DIV/0!</v>
      </c>
      <c r="I92" s="107" t="e">
        <f>I90/'MSF By Card'!I84</f>
        <v>#DIV/0!</v>
      </c>
      <c r="J92" s="104" t="e">
        <f>J90/'MSF By Card'!J84</f>
        <v>#DIV/0!</v>
      </c>
      <c r="K92" s="107" t="e">
        <f>K90/'MSF By Card'!K84</f>
        <v>#DIV/0!</v>
      </c>
      <c r="L92" s="104"/>
    </row>
    <row r="93" spans="1:12" x14ac:dyDescent="0.25">
      <c r="A93" s="275" t="s">
        <v>23</v>
      </c>
      <c r="B93" s="73">
        <v>0.21818181818181814</v>
      </c>
      <c r="C93" s="11">
        <v>3655.3</v>
      </c>
      <c r="D93" s="11">
        <v>14219.75</v>
      </c>
      <c r="E93" s="74">
        <v>2749.12</v>
      </c>
      <c r="F93" s="11">
        <v>20047.8</v>
      </c>
      <c r="G93" s="74">
        <v>21395</v>
      </c>
      <c r="H93" s="11">
        <v>4083.48</v>
      </c>
      <c r="I93" s="74">
        <v>3647.08</v>
      </c>
      <c r="J93" s="11">
        <v>3835.72</v>
      </c>
      <c r="K93" s="96">
        <f>SUM(C93:J93)</f>
        <v>73633.25</v>
      </c>
      <c r="L93" s="78">
        <f>K93/$K$34</f>
        <v>6.4410028864531316E-2</v>
      </c>
    </row>
    <row r="94" spans="1:12" x14ac:dyDescent="0.25">
      <c r="A94" s="9" t="s">
        <v>54</v>
      </c>
      <c r="C94" s="12">
        <f t="shared" ref="C94:K94" si="33">C93/$K$25</f>
        <v>4.9641975602054779E-2</v>
      </c>
      <c r="D94" s="12">
        <f t="shared" si="33"/>
        <v>0.19311588175179012</v>
      </c>
      <c r="E94" s="5">
        <f t="shared" si="33"/>
        <v>3.7335307079342551E-2</v>
      </c>
      <c r="F94" s="12">
        <f t="shared" si="33"/>
        <v>0.27226558653869004</v>
      </c>
      <c r="G94" s="5">
        <f t="shared" si="33"/>
        <v>0.29056166881130469</v>
      </c>
      <c r="H94" s="12">
        <f t="shared" si="33"/>
        <v>5.5457011608206888E-2</v>
      </c>
      <c r="I94" s="5">
        <f t="shared" si="33"/>
        <v>4.9530341252083804E-2</v>
      </c>
      <c r="J94" s="12">
        <f t="shared" si="33"/>
        <v>5.2092227356527111E-2</v>
      </c>
      <c r="K94" s="5">
        <f t="shared" si="33"/>
        <v>1</v>
      </c>
      <c r="L94" s="12"/>
    </row>
    <row r="95" spans="1:12" x14ac:dyDescent="0.25">
      <c r="A95" s="102" t="s">
        <v>55</v>
      </c>
      <c r="B95" s="103"/>
      <c r="C95" s="104"/>
      <c r="D95" s="104"/>
      <c r="E95" s="108"/>
      <c r="F95" s="104"/>
      <c r="G95" s="108"/>
      <c r="H95" s="104"/>
      <c r="I95" s="108"/>
      <c r="J95" s="104"/>
      <c r="K95" s="108"/>
      <c r="L95" s="104"/>
    </row>
    <row r="96" spans="1:12" x14ac:dyDescent="0.25">
      <c r="A96" s="275" t="s">
        <v>24</v>
      </c>
      <c r="B96" s="73"/>
      <c r="C96" s="11">
        <v>81.290000000000006</v>
      </c>
      <c r="D96" s="11">
        <v>482.99</v>
      </c>
      <c r="E96" s="74">
        <v>111.29</v>
      </c>
      <c r="F96" s="11">
        <v>536.76</v>
      </c>
      <c r="G96" s="74">
        <v>791.65</v>
      </c>
      <c r="H96" s="11">
        <v>142.38</v>
      </c>
      <c r="I96" s="74">
        <v>28.91</v>
      </c>
      <c r="J96" s="11">
        <v>17.010000000000002</v>
      </c>
      <c r="K96" s="96">
        <f>SUM(C96:J96)</f>
        <v>2192.2800000000002</v>
      </c>
      <c r="L96" s="78">
        <f>K96/$K$34</f>
        <v>1.917677381877545E-3</v>
      </c>
    </row>
    <row r="97" spans="1:15" x14ac:dyDescent="0.25">
      <c r="A97" s="9" t="s">
        <v>54</v>
      </c>
      <c r="C97" s="12">
        <f t="shared" ref="C97:K97" si="34">C96/$K$28</f>
        <v>3.7080117503238634E-2</v>
      </c>
      <c r="D97" s="12">
        <f t="shared" si="34"/>
        <v>0.22031401098399839</v>
      </c>
      <c r="E97" s="5">
        <f t="shared" si="34"/>
        <v>5.0764500884923458E-2</v>
      </c>
      <c r="F97" s="12">
        <f t="shared" si="34"/>
        <v>0.2448409874651048</v>
      </c>
      <c r="G97" s="5">
        <f t="shared" si="34"/>
        <v>0.36110807013702623</v>
      </c>
      <c r="H97" s="12">
        <f t="shared" si="34"/>
        <v>6.4946083529476159E-2</v>
      </c>
      <c r="I97" s="5">
        <f t="shared" si="34"/>
        <v>1.3187184118816938E-2</v>
      </c>
      <c r="J97" s="12">
        <f t="shared" si="34"/>
        <v>7.7590453774152935E-3</v>
      </c>
      <c r="K97" s="5">
        <f t="shared" si="34"/>
        <v>1</v>
      </c>
      <c r="L97" s="12"/>
    </row>
    <row r="98" spans="1:15" x14ac:dyDescent="0.25">
      <c r="A98" s="105" t="s">
        <v>55</v>
      </c>
      <c r="B98" s="103"/>
      <c r="C98" s="104">
        <f>C96/'MSF By Card'!C88</f>
        <v>0.60528667163067773</v>
      </c>
      <c r="D98" s="104" t="e">
        <f>D96/'MSF By Card'!D88</f>
        <v>#DIV/0!</v>
      </c>
      <c r="E98" s="107">
        <f>E96/'MSF By Card'!E88</f>
        <v>2.0111549203219976</v>
      </c>
      <c r="F98" s="104">
        <f>F96/'MSF By Card'!F88</f>
        <v>1.3599502487562189</v>
      </c>
      <c r="G98" s="107">
        <f>G96/'MSF By Card'!G88</f>
        <v>3.9025499686295606</v>
      </c>
      <c r="H98" s="104">
        <f>H96/'MSF By Card'!H88</f>
        <v>12.13152594887684</v>
      </c>
      <c r="I98" s="107">
        <f>I96/'MSF By Card'!I88</f>
        <v>4.0212182137754023E-2</v>
      </c>
      <c r="J98" s="104">
        <f>J96/'MSF By Card'!J88</f>
        <v>3.5175681010659293E-2</v>
      </c>
      <c r="K98" s="107">
        <f>K96/'MSF By Card'!K88</f>
        <v>1.0953583124770052</v>
      </c>
      <c r="L98" s="104"/>
    </row>
    <row r="99" spans="1:15" x14ac:dyDescent="0.25">
      <c r="A99" s="277" t="s">
        <v>25</v>
      </c>
      <c r="B99" s="73"/>
      <c r="C99" s="99">
        <f>C115</f>
        <v>2142.5699999999997</v>
      </c>
      <c r="D99" s="99">
        <f t="shared" ref="D99:J99" si="35">D115</f>
        <v>0</v>
      </c>
      <c r="E99" s="99">
        <f t="shared" si="35"/>
        <v>251.15545454545455</v>
      </c>
      <c r="F99" s="99">
        <f t="shared" si="35"/>
        <v>2986.9818181818187</v>
      </c>
      <c r="G99" s="99">
        <f t="shared" si="35"/>
        <v>1298.7572727272727</v>
      </c>
      <c r="H99" s="99">
        <f t="shared" si="35"/>
        <v>622.91454545454542</v>
      </c>
      <c r="I99" s="99">
        <f t="shared" si="35"/>
        <v>1540.8772727272728</v>
      </c>
      <c r="J99" s="99">
        <f t="shared" si="35"/>
        <v>1346.8836363636365</v>
      </c>
      <c r="K99" s="96">
        <f>SUM(C99:J99)</f>
        <v>10190.140000000001</v>
      </c>
      <c r="L99" s="78">
        <f>K99/$K$34</f>
        <v>8.9137341015589466E-3</v>
      </c>
    </row>
    <row r="100" spans="1:15" x14ac:dyDescent="0.25">
      <c r="A100" s="9" t="s">
        <v>54</v>
      </c>
      <c r="C100" s="12">
        <f>C99/$K$31</f>
        <v>0.21025913284802755</v>
      </c>
      <c r="D100" s="12">
        <f t="shared" ref="D100:K100" si="36">D99/$K$31</f>
        <v>0</v>
      </c>
      <c r="E100" s="12">
        <f t="shared" si="36"/>
        <v>2.4646909124453099E-2</v>
      </c>
      <c r="F100" s="12">
        <f t="shared" si="36"/>
        <v>0.29312470860869611</v>
      </c>
      <c r="G100" s="12">
        <f t="shared" si="36"/>
        <v>0.12745234832173774</v>
      </c>
      <c r="H100" s="12">
        <f t="shared" si="36"/>
        <v>6.112914498275248E-2</v>
      </c>
      <c r="I100" s="12">
        <f t="shared" si="36"/>
        <v>0.15121257143937891</v>
      </c>
      <c r="J100" s="12">
        <f t="shared" si="36"/>
        <v>0.13217518467495407</v>
      </c>
      <c r="K100" s="12">
        <f t="shared" si="36"/>
        <v>1</v>
      </c>
      <c r="L100" s="72"/>
    </row>
    <row r="101" spans="1:15" x14ac:dyDescent="0.25">
      <c r="A101" s="105" t="s">
        <v>55</v>
      </c>
      <c r="B101" s="103"/>
      <c r="C101" s="108">
        <f>C99/'MSF By Card'!C90</f>
        <v>780.40629139072848</v>
      </c>
      <c r="D101" s="108" t="e">
        <f>D99/'MSF By Card'!D90</f>
        <v>#DIV/0!</v>
      </c>
      <c r="E101" s="108">
        <f>E99/'MSF By Card'!E90</f>
        <v>37.233288409703505</v>
      </c>
      <c r="F101" s="108">
        <f>F99/'MSF By Card'!F90</f>
        <v>19.407442409923213</v>
      </c>
      <c r="G101" s="108">
        <f>G99/'MSF By Card'!G90</f>
        <v>63.551290035587208</v>
      </c>
      <c r="H101" s="108">
        <f>H99/'MSF By Card'!H90</f>
        <v>27.51831325301205</v>
      </c>
      <c r="I101" s="108">
        <f>I99/'MSF By Card'!I90</f>
        <v>3198.0471698113211</v>
      </c>
      <c r="J101" s="108">
        <f>J99/'MSF By Card'!J90</f>
        <v>14815.720000000001</v>
      </c>
      <c r="K101" s="108">
        <f>K99/'MSF By Card'!K90</f>
        <v>49.216922063666303</v>
      </c>
      <c r="L101" s="109"/>
    </row>
    <row r="102" spans="1:15" x14ac:dyDescent="0.25">
      <c r="A102" s="83" t="s">
        <v>10</v>
      </c>
      <c r="B102" s="100">
        <v>1.227272727272728</v>
      </c>
      <c r="C102" s="94">
        <f>SUM(C99+C96+C93+C90+C87+C84+C81+C78+C75+C72)</f>
        <v>131934.40999999997</v>
      </c>
      <c r="D102" s="94">
        <f t="shared" ref="D102:J102" si="37">SUM(D99+D96+D93+D90+D87+D84+D81+D78+D75+D72)</f>
        <v>133087.70000000001</v>
      </c>
      <c r="E102" s="94">
        <f t="shared" si="37"/>
        <v>35211.755454545455</v>
      </c>
      <c r="F102" s="94">
        <f t="shared" si="37"/>
        <v>215727.4118181818</v>
      </c>
      <c r="G102" s="94">
        <f t="shared" si="37"/>
        <v>374267.7372727273</v>
      </c>
      <c r="H102" s="94">
        <f t="shared" si="37"/>
        <v>47321.164545454551</v>
      </c>
      <c r="I102" s="94">
        <f t="shared" si="37"/>
        <v>106029.30727272728</v>
      </c>
      <c r="J102" s="94">
        <f t="shared" si="37"/>
        <v>99615.933636363625</v>
      </c>
      <c r="K102" s="94">
        <f>SUM(K72,K75,K78,K81,K84,K87,K90,K93,K96,K99)</f>
        <v>1143195.42</v>
      </c>
      <c r="L102" s="101">
        <f>K102/$K$34</f>
        <v>1</v>
      </c>
      <c r="M102" s="71">
        <f>SUM(C102:J102)</f>
        <v>1143195.42</v>
      </c>
    </row>
    <row r="103" spans="1:15" x14ac:dyDescent="0.25">
      <c r="A103" s="129" t="s">
        <v>54</v>
      </c>
      <c r="B103" s="42"/>
      <c r="C103" s="89">
        <f>C102/$K$34</f>
        <v>0.11540844871474379</v>
      </c>
      <c r="D103" s="89">
        <f t="shared" ref="D103:K103" si="38">D102/$K$34</f>
        <v>0.11641727885858746</v>
      </c>
      <c r="E103" s="89">
        <f t="shared" si="38"/>
        <v>3.080116910768017E-2</v>
      </c>
      <c r="F103" s="89">
        <f t="shared" si="38"/>
        <v>0.18870562988975395</v>
      </c>
      <c r="G103" s="89">
        <f t="shared" si="38"/>
        <v>0.32738736590873269</v>
      </c>
      <c r="H103" s="89">
        <f t="shared" si="38"/>
        <v>4.1393766732773084E-2</v>
      </c>
      <c r="I103" s="89">
        <f t="shared" si="38"/>
        <v>9.2748191094683782E-2</v>
      </c>
      <c r="J103" s="89">
        <f t="shared" si="38"/>
        <v>8.7138149693045161E-2</v>
      </c>
      <c r="K103" s="89">
        <f t="shared" si="38"/>
        <v>1</v>
      </c>
      <c r="L103" s="75"/>
    </row>
    <row r="104" spans="1:15" x14ac:dyDescent="0.25">
      <c r="A104" s="105" t="s">
        <v>55</v>
      </c>
      <c r="B104" s="106"/>
      <c r="C104" s="117" t="e">
        <f>C102/'MSF By Card'!C92</f>
        <v>#DIV/0!</v>
      </c>
      <c r="D104" s="117" t="e">
        <f>D102/'MSF By Card'!D92</f>
        <v>#DIV/0!</v>
      </c>
      <c r="E104" s="117" t="e">
        <f>E102/'MSF By Card'!E92</f>
        <v>#DIV/0!</v>
      </c>
      <c r="F104" s="117" t="e">
        <f>F102/'MSF By Card'!F92</f>
        <v>#DIV/0!</v>
      </c>
      <c r="G104" s="117" t="e">
        <f>G102/'MSF By Card'!G92</f>
        <v>#DIV/0!</v>
      </c>
      <c r="H104" s="117" t="e">
        <f>H102/'MSF By Card'!H92</f>
        <v>#DIV/0!</v>
      </c>
      <c r="I104" s="117" t="e">
        <f>I102/'MSF By Card'!I92</f>
        <v>#DIV/0!</v>
      </c>
      <c r="J104" s="117" t="e">
        <f>J102/'MSF By Card'!J92</f>
        <v>#DIV/0!</v>
      </c>
      <c r="K104" s="117" t="e">
        <f>K102/'MSF By Card'!K92</f>
        <v>#DIV/0!</v>
      </c>
      <c r="L104" s="110"/>
    </row>
    <row r="105" spans="1:15" x14ac:dyDescent="0.25">
      <c r="L105" s="116">
        <f>SUM(L72:L101)</f>
        <v>1</v>
      </c>
      <c r="O105">
        <v>259085</v>
      </c>
    </row>
    <row r="106" spans="1:15" x14ac:dyDescent="0.25">
      <c r="L106" s="69"/>
    </row>
    <row r="107" spans="1:15" x14ac:dyDescent="0.25">
      <c r="A107" s="1" t="s">
        <v>31</v>
      </c>
      <c r="C107" s="69"/>
      <c r="D107" s="69"/>
      <c r="E107" s="69">
        <v>0.14545454545454545</v>
      </c>
      <c r="F107" s="69">
        <v>1.0818181818181818</v>
      </c>
      <c r="G107" s="69">
        <v>2.627272727272727</v>
      </c>
      <c r="H107" s="69"/>
      <c r="I107" s="69">
        <v>2.0272727272727269</v>
      </c>
      <c r="J107" s="69">
        <v>5.6363636363636358</v>
      </c>
      <c r="K107" s="70">
        <f>SUM(C107:J107)</f>
        <v>11.518181818181816</v>
      </c>
      <c r="L107" s="69"/>
    </row>
    <row r="108" spans="1:15" x14ac:dyDescent="0.25">
      <c r="A108" s="1" t="s">
        <v>32</v>
      </c>
      <c r="B108">
        <v>2.7272727272727268E-2</v>
      </c>
      <c r="C108" s="69">
        <v>1103.46</v>
      </c>
      <c r="D108" s="69"/>
      <c r="E108" s="69">
        <v>105.9</v>
      </c>
      <c r="F108" s="69">
        <v>1502.39</v>
      </c>
      <c r="G108" s="69">
        <v>498.51</v>
      </c>
      <c r="H108" s="69">
        <v>332.74</v>
      </c>
      <c r="I108" s="69">
        <v>152.47</v>
      </c>
      <c r="J108" s="69">
        <v>105.06</v>
      </c>
      <c r="K108" s="70">
        <f t="shared" ref="K108:K113" si="39">SUM(C108:J108)</f>
        <v>3800.5299999999997</v>
      </c>
      <c r="L108" s="69"/>
    </row>
    <row r="109" spans="1:15" x14ac:dyDescent="0.25">
      <c r="A109" s="1" t="s">
        <v>33</v>
      </c>
      <c r="C109" s="69"/>
      <c r="D109" s="69"/>
      <c r="E109" s="69"/>
      <c r="F109" s="69"/>
      <c r="G109" s="69"/>
      <c r="H109" s="69"/>
      <c r="I109" s="69"/>
      <c r="J109" s="69">
        <v>2.7272727272727268E-2</v>
      </c>
      <c r="K109" s="70">
        <f t="shared" si="39"/>
        <v>2.7272727272727268E-2</v>
      </c>
      <c r="L109" s="69"/>
    </row>
    <row r="110" spans="1:15" x14ac:dyDescent="0.25">
      <c r="A110" s="1" t="s">
        <v>34</v>
      </c>
      <c r="C110" s="69">
        <v>118.02</v>
      </c>
      <c r="D110" s="69"/>
      <c r="E110" s="69">
        <v>21.64</v>
      </c>
      <c r="F110" s="69">
        <v>70.94</v>
      </c>
      <c r="G110" s="69">
        <v>110.42</v>
      </c>
      <c r="H110" s="69">
        <v>1.8545454545454545</v>
      </c>
      <c r="I110" s="69">
        <v>972.06</v>
      </c>
      <c r="J110" s="69">
        <v>601.84</v>
      </c>
      <c r="K110" s="70">
        <f t="shared" si="39"/>
        <v>1896.7745454545457</v>
      </c>
    </row>
    <row r="111" spans="1:15" x14ac:dyDescent="0.25">
      <c r="A111" s="1" t="s">
        <v>35</v>
      </c>
      <c r="B111">
        <v>5.4545454545454536E-2</v>
      </c>
      <c r="C111" s="69">
        <v>882.12</v>
      </c>
      <c r="D111" s="69"/>
      <c r="E111" s="69">
        <v>98.9</v>
      </c>
      <c r="F111" s="69">
        <v>947.46</v>
      </c>
      <c r="G111" s="69">
        <v>631.04999999999995</v>
      </c>
      <c r="H111" s="69">
        <v>213.7</v>
      </c>
      <c r="I111" s="69">
        <v>99.18</v>
      </c>
      <c r="J111" s="69">
        <v>47</v>
      </c>
      <c r="K111" s="70">
        <f t="shared" si="39"/>
        <v>2919.4099999999994</v>
      </c>
    </row>
    <row r="112" spans="1:15" x14ac:dyDescent="0.25">
      <c r="A112" s="1" t="s">
        <v>29</v>
      </c>
      <c r="B112">
        <v>0.51818181818181841</v>
      </c>
      <c r="C112" s="69">
        <v>26.16</v>
      </c>
      <c r="D112" s="69"/>
      <c r="E112" s="69"/>
      <c r="F112" s="69"/>
      <c r="G112" s="69"/>
      <c r="H112" s="69"/>
      <c r="I112" s="69">
        <v>313.68</v>
      </c>
      <c r="J112" s="69">
        <v>584.28</v>
      </c>
      <c r="K112" s="70">
        <f t="shared" si="39"/>
        <v>924.12</v>
      </c>
    </row>
    <row r="113" spans="1:11" x14ac:dyDescent="0.25">
      <c r="A113" s="1" t="s">
        <v>30</v>
      </c>
      <c r="C113" s="69">
        <v>12.81</v>
      </c>
      <c r="D113" s="69"/>
      <c r="E113" s="69">
        <v>24.57</v>
      </c>
      <c r="F113" s="69">
        <v>465.11</v>
      </c>
      <c r="G113" s="69">
        <v>56.15</v>
      </c>
      <c r="H113" s="69">
        <v>74.62</v>
      </c>
      <c r="I113" s="69">
        <v>1.46</v>
      </c>
      <c r="J113" s="69">
        <v>3.04</v>
      </c>
      <c r="K113" s="70">
        <f t="shared" si="39"/>
        <v>637.76</v>
      </c>
    </row>
    <row r="115" spans="1:11" x14ac:dyDescent="0.25">
      <c r="C115" s="71">
        <f>SUM(C107:C113)</f>
        <v>2142.5699999999997</v>
      </c>
      <c r="D115" s="71">
        <f t="shared" ref="D115:K115" si="40">SUM(D107:D113)</f>
        <v>0</v>
      </c>
      <c r="E115" s="71">
        <f t="shared" si="40"/>
        <v>251.15545454545455</v>
      </c>
      <c r="F115" s="71">
        <f t="shared" si="40"/>
        <v>2986.9818181818187</v>
      </c>
      <c r="G115" s="71">
        <f t="shared" si="40"/>
        <v>1298.7572727272727</v>
      </c>
      <c r="H115" s="71">
        <f t="shared" si="40"/>
        <v>622.91454545454542</v>
      </c>
      <c r="I115" s="71">
        <f t="shared" si="40"/>
        <v>1540.8772727272728</v>
      </c>
      <c r="J115" s="71">
        <f t="shared" si="40"/>
        <v>1346.8836363636365</v>
      </c>
      <c r="K115" s="71">
        <f t="shared" si="40"/>
        <v>10190.140000000001</v>
      </c>
    </row>
  </sheetData>
  <mergeCells count="4">
    <mergeCell ref="A1:L1"/>
    <mergeCell ref="A53:L53"/>
    <mergeCell ref="A69:L69"/>
    <mergeCell ref="A62:L6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FAAC1-E44F-4AF3-BAB7-4EF0B30CB399}">
  <sheetPr codeName="Sheet6"/>
  <dimension ref="A1:AJ80"/>
  <sheetViews>
    <sheetView showGridLines="0" topLeftCell="A31" workbookViewId="0">
      <selection activeCell="C44" sqref="C44"/>
    </sheetView>
  </sheetViews>
  <sheetFormatPr defaultRowHeight="15" outlineLevelCol="1" x14ac:dyDescent="0.25"/>
  <cols>
    <col min="1" max="1" width="17.5703125" customWidth="1"/>
    <col min="2" max="2" width="6.85546875" hidden="1" customWidth="1"/>
    <col min="3" max="12" width="14.140625" customWidth="1"/>
    <col min="13" max="13" width="13" hidden="1" customWidth="1"/>
    <col min="15" max="16" width="17.28515625" customWidth="1" outlineLevel="1"/>
    <col min="17" max="22" width="14" customWidth="1" outlineLevel="1"/>
    <col min="23" max="23" width="13.28515625" bestFit="1" customWidth="1"/>
    <col min="24" max="25" width="17.28515625" customWidth="1" outlineLevel="1"/>
    <col min="26" max="35" width="14" customWidth="1" outlineLevel="1"/>
    <col min="36" max="36" width="17.28515625" customWidth="1" outlineLevel="1"/>
  </cols>
  <sheetData>
    <row r="1" spans="1:35" ht="34.15" customHeight="1" x14ac:dyDescent="0.25">
      <c r="A1" s="718" t="s">
        <v>67</v>
      </c>
      <c r="B1" s="718"/>
      <c r="C1" s="718"/>
      <c r="D1" s="718"/>
      <c r="E1" s="718"/>
      <c r="F1" s="718"/>
      <c r="G1" s="718"/>
      <c r="H1" s="718"/>
      <c r="I1" s="718"/>
      <c r="J1" s="718"/>
      <c r="K1" s="718"/>
      <c r="L1" s="718"/>
      <c r="O1" s="718" t="s">
        <v>68</v>
      </c>
      <c r="P1" s="718"/>
      <c r="Q1" s="718"/>
      <c r="R1" s="718"/>
      <c r="S1" s="718"/>
      <c r="T1" s="718"/>
      <c r="U1" s="718"/>
      <c r="V1" s="718"/>
    </row>
    <row r="2" spans="1:35" ht="29.1" customHeight="1" x14ac:dyDescent="0.25">
      <c r="A2" s="93" t="s">
        <v>69</v>
      </c>
      <c r="B2" s="16"/>
      <c r="C2" s="19" t="s">
        <v>2</v>
      </c>
      <c r="D2" s="23" t="s">
        <v>3</v>
      </c>
      <c r="E2" s="25" t="s">
        <v>4</v>
      </c>
      <c r="F2" s="27" t="s">
        <v>5</v>
      </c>
      <c r="G2" s="25" t="s">
        <v>6</v>
      </c>
      <c r="H2" s="27" t="s">
        <v>7</v>
      </c>
      <c r="I2" s="25" t="s">
        <v>8</v>
      </c>
      <c r="J2" s="27" t="s">
        <v>44</v>
      </c>
      <c r="K2" s="23" t="s">
        <v>10</v>
      </c>
      <c r="L2" s="21" t="s">
        <v>11</v>
      </c>
      <c r="O2" s="93" t="s">
        <v>69</v>
      </c>
      <c r="P2" s="16"/>
      <c r="Q2" s="19" t="s">
        <v>2</v>
      </c>
      <c r="R2" s="23" t="s">
        <v>70</v>
      </c>
      <c r="S2" s="25" t="s">
        <v>71</v>
      </c>
      <c r="T2" s="25" t="s">
        <v>72</v>
      </c>
      <c r="U2" s="23" t="s">
        <v>10</v>
      </c>
      <c r="V2" s="21" t="s">
        <v>11</v>
      </c>
      <c r="X2" s="93" t="s">
        <v>73</v>
      </c>
      <c r="Y2" s="16"/>
      <c r="Z2" s="19" t="s">
        <v>2</v>
      </c>
      <c r="AA2" s="23" t="s">
        <v>3</v>
      </c>
      <c r="AB2" s="25" t="s">
        <v>4</v>
      </c>
      <c r="AC2" s="27" t="s">
        <v>5</v>
      </c>
      <c r="AD2" s="25" t="s">
        <v>6</v>
      </c>
      <c r="AE2" s="27" t="s">
        <v>7</v>
      </c>
      <c r="AF2" s="25" t="s">
        <v>8</v>
      </c>
      <c r="AG2" s="27" t="s">
        <v>44</v>
      </c>
      <c r="AH2" s="23" t="s">
        <v>10</v>
      </c>
      <c r="AI2" s="21" t="s">
        <v>11</v>
      </c>
    </row>
    <row r="3" spans="1:35" x14ac:dyDescent="0.25">
      <c r="A3" s="120" t="s">
        <v>12</v>
      </c>
      <c r="B3" s="121" t="s">
        <v>13</v>
      </c>
      <c r="C3" s="57"/>
      <c r="D3" s="95"/>
      <c r="E3" s="76"/>
      <c r="F3" s="95"/>
      <c r="G3" s="76"/>
      <c r="H3" s="95"/>
      <c r="I3" s="76"/>
      <c r="J3" s="95"/>
      <c r="K3" s="95"/>
      <c r="L3" s="58" t="s">
        <v>14</v>
      </c>
      <c r="O3" s="120" t="s">
        <v>12</v>
      </c>
      <c r="P3" s="121"/>
      <c r="Q3" s="57"/>
      <c r="R3" s="95"/>
      <c r="S3" s="76"/>
      <c r="T3" s="76"/>
      <c r="U3" s="95"/>
      <c r="V3" s="58" t="s">
        <v>14</v>
      </c>
      <c r="X3" s="120" t="s">
        <v>12</v>
      </c>
      <c r="Y3" s="121" t="s">
        <v>13</v>
      </c>
      <c r="Z3" s="57"/>
      <c r="AA3" s="95"/>
      <c r="AB3" s="76"/>
      <c r="AC3" s="95"/>
      <c r="AD3" s="76"/>
      <c r="AE3" s="95"/>
      <c r="AF3" s="76"/>
      <c r="AG3" s="95"/>
      <c r="AH3" s="95"/>
      <c r="AI3" s="58" t="s">
        <v>14</v>
      </c>
    </row>
    <row r="4" spans="1:35" x14ac:dyDescent="0.25">
      <c r="A4" s="663" t="s">
        <v>74</v>
      </c>
      <c r="B4" s="73">
        <v>461.55999999999995</v>
      </c>
      <c r="C4" s="11">
        <v>3513336.72</v>
      </c>
      <c r="D4" s="74">
        <v>22346622.780000009</v>
      </c>
      <c r="E4" s="11">
        <v>2616131.8100000015</v>
      </c>
      <c r="F4" s="74">
        <v>15284097.470000001</v>
      </c>
      <c r="G4" s="11">
        <v>16780190.190000013</v>
      </c>
      <c r="H4" s="74">
        <v>3679803.4800000009</v>
      </c>
      <c r="I4" s="11">
        <v>1832306.2899999998</v>
      </c>
      <c r="J4" s="74">
        <v>1795722.3000000005</v>
      </c>
      <c r="K4" s="122">
        <f>SUM(B4:J4)</f>
        <v>67848672.600000024</v>
      </c>
      <c r="L4" s="664">
        <f>K4/$K$44</f>
        <v>0.46594517357252829</v>
      </c>
      <c r="O4" s="663" t="s">
        <v>74</v>
      </c>
      <c r="P4" s="73">
        <v>461.55999999999995</v>
      </c>
      <c r="Q4" s="11">
        <f t="shared" ref="Q4:Q47" si="0">C4</f>
        <v>3513336.72</v>
      </c>
      <c r="R4" s="74">
        <f t="shared" ref="R4:R47" si="1">D4+F4+H4</f>
        <v>41310523.730000012</v>
      </c>
      <c r="S4" s="11">
        <f t="shared" ref="S4:S47" si="2">E4+G4</f>
        <v>19396322.000000015</v>
      </c>
      <c r="T4" s="11">
        <f t="shared" ref="T4:T47" si="3">I4+J4</f>
        <v>3628028.5900000003</v>
      </c>
      <c r="U4" s="122">
        <f>SUM(P4:T4)</f>
        <v>67848672.600000024</v>
      </c>
      <c r="V4" s="664">
        <f>U4/$K$44</f>
        <v>0.46594517357252829</v>
      </c>
      <c r="X4" s="663" t="s">
        <v>74</v>
      </c>
      <c r="Y4" s="73">
        <v>461.55999999999995</v>
      </c>
      <c r="Z4" s="11">
        <f>C4</f>
        <v>3513336.72</v>
      </c>
      <c r="AA4" s="11">
        <f t="shared" ref="AA4:AG4" si="4">D4</f>
        <v>22346622.780000009</v>
      </c>
      <c r="AB4" s="11">
        <f t="shared" si="4"/>
        <v>2616131.8100000015</v>
      </c>
      <c r="AC4" s="11">
        <f t="shared" si="4"/>
        <v>15284097.470000001</v>
      </c>
      <c r="AD4" s="11">
        <f t="shared" si="4"/>
        <v>16780190.190000013</v>
      </c>
      <c r="AE4" s="11">
        <f t="shared" si="4"/>
        <v>3679803.4800000009</v>
      </c>
      <c r="AF4" s="11">
        <f t="shared" si="4"/>
        <v>1832306.2899999998</v>
      </c>
      <c r="AG4" s="11">
        <f t="shared" si="4"/>
        <v>1795722.3000000005</v>
      </c>
      <c r="AH4" s="122">
        <f>SUM(Y4:AG4)</f>
        <v>67848672.600000024</v>
      </c>
      <c r="AI4" s="664">
        <f>AH4/$K$44</f>
        <v>0.46594517357252829</v>
      </c>
    </row>
    <row r="5" spans="1:35" x14ac:dyDescent="0.25">
      <c r="A5" s="665" t="s">
        <v>43</v>
      </c>
      <c r="C5" s="118">
        <f>'MSF By Card'!C4</f>
        <v>54878.336363636379</v>
      </c>
      <c r="D5" s="118">
        <f>'MSF By Card'!D4</f>
        <v>313667.54545454535</v>
      </c>
      <c r="E5" s="118">
        <f>'MSF By Card'!E4</f>
        <v>37106.963636363631</v>
      </c>
      <c r="F5" s="118">
        <f>'MSF By Card'!F4</f>
        <v>216052.08181818179</v>
      </c>
      <c r="G5" s="118">
        <f>'MSF By Card'!G4</f>
        <v>253741.6363636365</v>
      </c>
      <c r="H5" s="118">
        <f>'MSF By Card'!H4</f>
        <v>52110.663636363621</v>
      </c>
      <c r="I5" s="118">
        <f>'MSF By Card'!I4</f>
        <v>27299.318181818173</v>
      </c>
      <c r="J5" s="118">
        <f>'MSF By Card'!J4</f>
        <v>25640.481818181815</v>
      </c>
      <c r="K5" s="119">
        <f>SUM(C5:J5)</f>
        <v>980497.02727272711</v>
      </c>
      <c r="L5" s="666"/>
      <c r="O5" s="665" t="s">
        <v>43</v>
      </c>
      <c r="Q5" s="118">
        <f t="shared" si="0"/>
        <v>54878.336363636379</v>
      </c>
      <c r="R5" s="118">
        <f t="shared" si="1"/>
        <v>581830.29090909078</v>
      </c>
      <c r="S5" s="118">
        <f t="shared" si="2"/>
        <v>290848.60000000015</v>
      </c>
      <c r="T5" s="118">
        <f t="shared" si="3"/>
        <v>52939.799999999988</v>
      </c>
      <c r="U5" s="119">
        <f>SUM(Q5:T5)</f>
        <v>980497.02727272734</v>
      </c>
      <c r="V5" s="666"/>
      <c r="X5" s="665" t="s">
        <v>75</v>
      </c>
      <c r="Z5" s="12">
        <f>C5/C4</f>
        <v>1.5620004780992462E-2</v>
      </c>
      <c r="AA5" s="12">
        <f t="shared" ref="AA5:AH5" si="5">D5/D4</f>
        <v>1.4036463072857457E-2</v>
      </c>
      <c r="AB5" s="12">
        <f t="shared" si="5"/>
        <v>1.4183904455625885E-2</v>
      </c>
      <c r="AC5" s="12">
        <f t="shared" si="5"/>
        <v>1.4135743523113097E-2</v>
      </c>
      <c r="AD5" s="12">
        <f t="shared" si="5"/>
        <v>1.5121499428227655E-2</v>
      </c>
      <c r="AE5" s="12">
        <f t="shared" si="5"/>
        <v>1.4161262665136565E-2</v>
      </c>
      <c r="AF5" s="12">
        <f t="shared" si="5"/>
        <v>1.489888362595654E-2</v>
      </c>
      <c r="AG5" s="12">
        <f t="shared" si="5"/>
        <v>1.427864532181942E-2</v>
      </c>
      <c r="AH5" s="12">
        <f t="shared" si="5"/>
        <v>1.445123374856897E-2</v>
      </c>
      <c r="AI5" s="666"/>
    </row>
    <row r="6" spans="1:35" x14ac:dyDescent="0.25">
      <c r="A6" s="665" t="s">
        <v>76</v>
      </c>
      <c r="C6" s="118">
        <f>'COA by Card'!C4</f>
        <v>59549.25</v>
      </c>
      <c r="D6" s="118">
        <f>'COA by Card'!D4</f>
        <v>65026.41</v>
      </c>
      <c r="E6" s="118">
        <f>'COA by Card'!E4</f>
        <v>16134.75</v>
      </c>
      <c r="F6" s="118">
        <f>'COA by Card'!F4</f>
        <v>103319.73</v>
      </c>
      <c r="G6" s="118">
        <f>'COA by Card'!G4</f>
        <v>169330</v>
      </c>
      <c r="H6" s="118">
        <f>'COA by Card'!H4</f>
        <v>20841</v>
      </c>
      <c r="I6" s="118">
        <f>'COA by Card'!I4</f>
        <v>55261.54</v>
      </c>
      <c r="J6" s="118">
        <f>'COA by Card'!J4</f>
        <v>54948.93</v>
      </c>
      <c r="K6" s="119">
        <f>SUM(C6:J6)</f>
        <v>544411.61</v>
      </c>
      <c r="L6" s="666"/>
      <c r="O6" s="665" t="s">
        <v>76</v>
      </c>
      <c r="Q6" s="118">
        <f t="shared" si="0"/>
        <v>59549.25</v>
      </c>
      <c r="R6" s="118">
        <f t="shared" si="1"/>
        <v>189187.14</v>
      </c>
      <c r="S6" s="118">
        <f t="shared" si="2"/>
        <v>185464.75</v>
      </c>
      <c r="T6" s="118">
        <f t="shared" si="3"/>
        <v>110210.47</v>
      </c>
      <c r="U6" s="119">
        <f>SUM(Q6:T6)</f>
        <v>544411.61</v>
      </c>
      <c r="V6" s="666"/>
      <c r="X6" s="665" t="s">
        <v>76</v>
      </c>
      <c r="Z6" s="12">
        <f>C6/C4</f>
        <v>1.694948555912967E-2</v>
      </c>
      <c r="AA6" s="12">
        <f t="shared" ref="AA6:AH6" si="6">D6/D4</f>
        <v>2.9098987636824456E-3</v>
      </c>
      <c r="AB6" s="12">
        <f t="shared" si="6"/>
        <v>6.1674071384040822E-3</v>
      </c>
      <c r="AC6" s="12">
        <f t="shared" si="6"/>
        <v>6.7599496929928952E-3</v>
      </c>
      <c r="AD6" s="12">
        <f t="shared" si="6"/>
        <v>1.0091065600729039E-2</v>
      </c>
      <c r="AE6" s="12">
        <f t="shared" si="6"/>
        <v>5.6636176668869269E-3</v>
      </c>
      <c r="AF6" s="12">
        <f t="shared" si="6"/>
        <v>3.0159553728323449E-2</v>
      </c>
      <c r="AG6" s="12">
        <f t="shared" si="6"/>
        <v>3.0599904005201687E-2</v>
      </c>
      <c r="AH6" s="12">
        <f t="shared" si="6"/>
        <v>8.0239095200810139E-3</v>
      </c>
      <c r="AI6" s="666"/>
    </row>
    <row r="7" spans="1:35" x14ac:dyDescent="0.25">
      <c r="A7" s="685" t="s">
        <v>77</v>
      </c>
      <c r="B7" s="97"/>
      <c r="C7" s="123">
        <f>'GP by Card Type'!C4</f>
        <v>-4670.9136363636208</v>
      </c>
      <c r="D7" s="123">
        <f>'GP by Card Type'!D4</f>
        <v>248641.13545454535</v>
      </c>
      <c r="E7" s="123">
        <f>'GP by Card Type'!E4</f>
        <v>20972.213636363631</v>
      </c>
      <c r="F7" s="123">
        <f>'GP by Card Type'!F4</f>
        <v>112732.35181818179</v>
      </c>
      <c r="G7" s="123">
        <f>'GP by Card Type'!G4</f>
        <v>84411.636363636499</v>
      </c>
      <c r="H7" s="123">
        <f>'GP by Card Type'!H4</f>
        <v>31269.663636363621</v>
      </c>
      <c r="I7" s="123">
        <f>'GP by Card Type'!I4</f>
        <v>-27962.221818181828</v>
      </c>
      <c r="J7" s="123">
        <f>'GP by Card Type'!J4</f>
        <v>-29308.448181818185</v>
      </c>
      <c r="K7" s="124">
        <f>SUM(C7:J7)</f>
        <v>436085.41727272735</v>
      </c>
      <c r="L7" s="686"/>
      <c r="O7" s="685" t="s">
        <v>77</v>
      </c>
      <c r="P7" s="97"/>
      <c r="Q7" s="123">
        <f t="shared" si="0"/>
        <v>-4670.9136363636208</v>
      </c>
      <c r="R7" s="123">
        <f t="shared" si="1"/>
        <v>392643.15090909076</v>
      </c>
      <c r="S7" s="123">
        <f t="shared" si="2"/>
        <v>105383.85000000012</v>
      </c>
      <c r="T7" s="123">
        <f t="shared" si="3"/>
        <v>-57270.670000000013</v>
      </c>
      <c r="U7" s="124">
        <f>SUM(Q7:T7)</f>
        <v>436085.41727272724</v>
      </c>
      <c r="V7" s="686"/>
      <c r="X7" s="685" t="s">
        <v>78</v>
      </c>
      <c r="Y7" s="97"/>
      <c r="Z7" s="146">
        <f>C7/C4</f>
        <v>-1.3294807781372064E-3</v>
      </c>
      <c r="AA7" s="146">
        <f t="shared" ref="AA7:AH7" si="7">D7/D4</f>
        <v>1.112656430917501E-2</v>
      </c>
      <c r="AB7" s="146">
        <f t="shared" si="7"/>
        <v>8.0164973172218035E-3</v>
      </c>
      <c r="AC7" s="146">
        <f t="shared" si="7"/>
        <v>7.375793830120202E-3</v>
      </c>
      <c r="AD7" s="146">
        <f t="shared" si="7"/>
        <v>5.0304338274986165E-3</v>
      </c>
      <c r="AE7" s="146">
        <f t="shared" si="7"/>
        <v>8.4976449982496378E-3</v>
      </c>
      <c r="AF7" s="146">
        <f t="shared" si="7"/>
        <v>-1.5260670102366909E-2</v>
      </c>
      <c r="AG7" s="146">
        <f t="shared" si="7"/>
        <v>-1.6321258683382266E-2</v>
      </c>
      <c r="AH7" s="146">
        <f t="shared" si="7"/>
        <v>6.4273242284879602E-3</v>
      </c>
      <c r="AI7" s="686"/>
    </row>
    <row r="8" spans="1:35" x14ac:dyDescent="0.25">
      <c r="A8" s="275" t="s">
        <v>17</v>
      </c>
      <c r="B8" s="73"/>
      <c r="C8" s="11">
        <v>28971.789999999994</v>
      </c>
      <c r="D8" s="74">
        <v>992912.44000000029</v>
      </c>
      <c r="E8" s="11">
        <v>99801.569999999992</v>
      </c>
      <c r="F8" s="74">
        <v>577670.54000000015</v>
      </c>
      <c r="G8" s="11">
        <v>345338.64000000013</v>
      </c>
      <c r="H8" s="74">
        <v>128398</v>
      </c>
      <c r="I8" s="11">
        <v>8759.07</v>
      </c>
      <c r="J8" s="74">
        <v>15389.529999999999</v>
      </c>
      <c r="K8" s="122">
        <f>SUM(B8:J8)</f>
        <v>2197241.58</v>
      </c>
      <c r="L8" s="664">
        <f>K8/$K$44</f>
        <v>1.508937566707644E-2</v>
      </c>
      <c r="O8" s="663" t="s">
        <v>79</v>
      </c>
      <c r="P8" s="73">
        <v>461.55999999999995</v>
      </c>
      <c r="Q8" s="11">
        <f t="shared" si="0"/>
        <v>28971.789999999994</v>
      </c>
      <c r="R8" s="74">
        <f t="shared" si="1"/>
        <v>1698980.9800000004</v>
      </c>
      <c r="S8" s="11">
        <f t="shared" si="2"/>
        <v>445140.21000000014</v>
      </c>
      <c r="T8" s="11">
        <f t="shared" si="3"/>
        <v>24148.6</v>
      </c>
      <c r="U8" s="122">
        <f>SUM(P8:T8)</f>
        <v>2197703.1400000006</v>
      </c>
      <c r="V8" s="664">
        <f>U8/$K$44</f>
        <v>1.5092545392379428E-2</v>
      </c>
      <c r="X8" s="275" t="s">
        <v>17</v>
      </c>
      <c r="Y8" s="73"/>
      <c r="Z8" s="11">
        <f>C8</f>
        <v>28971.789999999994</v>
      </c>
      <c r="AA8" s="11">
        <f t="shared" ref="AA8:AH8" si="8">D8</f>
        <v>992912.44000000029</v>
      </c>
      <c r="AB8" s="11">
        <f t="shared" si="8"/>
        <v>99801.569999999992</v>
      </c>
      <c r="AC8" s="11">
        <f t="shared" si="8"/>
        <v>577670.54000000015</v>
      </c>
      <c r="AD8" s="11">
        <f t="shared" si="8"/>
        <v>345338.64000000013</v>
      </c>
      <c r="AE8" s="11">
        <f t="shared" si="8"/>
        <v>128398</v>
      </c>
      <c r="AF8" s="11">
        <f t="shared" si="8"/>
        <v>8759.07</v>
      </c>
      <c r="AG8" s="11">
        <f t="shared" si="8"/>
        <v>15389.529999999999</v>
      </c>
      <c r="AH8" s="11">
        <f t="shared" si="8"/>
        <v>2197241.58</v>
      </c>
      <c r="AI8" s="664">
        <f>AH8/$K$44</f>
        <v>1.508937566707644E-2</v>
      </c>
    </row>
    <row r="9" spans="1:35" x14ac:dyDescent="0.25">
      <c r="A9" s="665" t="s">
        <v>43</v>
      </c>
      <c r="C9" s="118">
        <f>'MSF By Card'!C6</f>
        <v>427.90909090909099</v>
      </c>
      <c r="D9" s="118">
        <f>'MSF By Card'!D6</f>
        <v>14657.545454545449</v>
      </c>
      <c r="E9" s="118">
        <f>'MSF By Card'!E6</f>
        <v>1474.3545454545454</v>
      </c>
      <c r="F9" s="118">
        <f>'MSF By Card'!F6</f>
        <v>8538.3454545454515</v>
      </c>
      <c r="G9" s="118">
        <f>'MSF By Card'!G6</f>
        <v>5103.2000000000016</v>
      </c>
      <c r="H9" s="118">
        <f>'MSF By Card'!H6</f>
        <v>1896.1727272727271</v>
      </c>
      <c r="I9" s="118">
        <f>'MSF By Card'!I6</f>
        <v>139.3545454545455</v>
      </c>
      <c r="J9" s="118">
        <f>'MSF By Card'!J6</f>
        <v>227.03636363636366</v>
      </c>
      <c r="K9" s="119">
        <f>SUM(C9:J9)</f>
        <v>32463.918181818175</v>
      </c>
      <c r="L9" s="666"/>
      <c r="O9" s="665" t="s">
        <v>43</v>
      </c>
      <c r="Q9" s="118">
        <f t="shared" si="0"/>
        <v>427.90909090909099</v>
      </c>
      <c r="R9" s="118">
        <f t="shared" si="1"/>
        <v>25092.063636363626</v>
      </c>
      <c r="S9" s="118">
        <f t="shared" si="2"/>
        <v>6577.5545454545472</v>
      </c>
      <c r="T9" s="118">
        <f t="shared" si="3"/>
        <v>366.39090909090919</v>
      </c>
      <c r="U9" s="119">
        <f>SUM(Q9:T9)</f>
        <v>32463.918181818175</v>
      </c>
      <c r="V9" s="666"/>
      <c r="X9" s="665" t="s">
        <v>75</v>
      </c>
      <c r="Z9" s="12">
        <f>C9/C8</f>
        <v>1.4769853395633858E-2</v>
      </c>
      <c r="AA9" s="12">
        <f t="shared" ref="AA9:AH9" si="9">D9/D8</f>
        <v>1.476217324313657E-2</v>
      </c>
      <c r="AB9" s="12">
        <f t="shared" si="9"/>
        <v>1.4772859239133667E-2</v>
      </c>
      <c r="AC9" s="12">
        <f t="shared" si="9"/>
        <v>1.4780648939697444E-2</v>
      </c>
      <c r="AD9" s="12">
        <f t="shared" si="9"/>
        <v>1.4777379096645541E-2</v>
      </c>
      <c r="AE9" s="12">
        <f t="shared" si="9"/>
        <v>1.4767930398236165E-2</v>
      </c>
      <c r="AF9" s="12">
        <f t="shared" si="9"/>
        <v>1.590974218205192E-2</v>
      </c>
      <c r="AG9" s="12">
        <f t="shared" si="9"/>
        <v>1.4752650902032984E-2</v>
      </c>
      <c r="AH9" s="12">
        <f t="shared" si="9"/>
        <v>1.4774851558115049E-2</v>
      </c>
      <c r="AI9" s="666"/>
    </row>
    <row r="10" spans="1:35" x14ac:dyDescent="0.25">
      <c r="A10" s="665" t="s">
        <v>76</v>
      </c>
      <c r="C10" s="118">
        <f>'COA by Card'!C7</f>
        <v>501.43</v>
      </c>
      <c r="D10" s="118">
        <f>'COA by Card'!D7</f>
        <v>2696.34</v>
      </c>
      <c r="E10" s="118">
        <f>'COA by Card'!E7</f>
        <v>648.61</v>
      </c>
      <c r="F10" s="118">
        <f>'COA by Card'!F7</f>
        <v>3775.44</v>
      </c>
      <c r="G10" s="118">
        <f>'COA by Card'!G7</f>
        <v>3615.17</v>
      </c>
      <c r="H10" s="118">
        <f>'COA by Card'!H7</f>
        <v>711.62</v>
      </c>
      <c r="I10" s="118">
        <f>'COA by Card'!I7</f>
        <v>318.8</v>
      </c>
      <c r="J10" s="118">
        <f>'COA by Card'!J7</f>
        <v>483.56</v>
      </c>
      <c r="K10" s="119">
        <f>SUM(C10:J10)</f>
        <v>12750.97</v>
      </c>
      <c r="L10" s="666"/>
      <c r="O10" s="665" t="s">
        <v>76</v>
      </c>
      <c r="Q10" s="118">
        <f t="shared" si="0"/>
        <v>501.43</v>
      </c>
      <c r="R10" s="118">
        <f t="shared" si="1"/>
        <v>7183.4000000000005</v>
      </c>
      <c r="S10" s="118">
        <f t="shared" si="2"/>
        <v>4263.78</v>
      </c>
      <c r="T10" s="118">
        <f t="shared" si="3"/>
        <v>802.36</v>
      </c>
      <c r="U10" s="119">
        <f>SUM(Q10:T10)</f>
        <v>12750.970000000001</v>
      </c>
      <c r="V10" s="666"/>
      <c r="X10" s="665" t="s">
        <v>76</v>
      </c>
      <c r="Z10" s="12">
        <f>C10/C8</f>
        <v>1.7307525699999899E-2</v>
      </c>
      <c r="AA10" s="12">
        <f t="shared" ref="AA10:AH10" si="10">D10/D8</f>
        <v>2.7155868849825259E-3</v>
      </c>
      <c r="AB10" s="12">
        <f t="shared" si="10"/>
        <v>6.498995957678823E-3</v>
      </c>
      <c r="AC10" s="12">
        <f t="shared" si="10"/>
        <v>6.5356284223876109E-3</v>
      </c>
      <c r="AD10" s="12">
        <f t="shared" si="10"/>
        <v>1.0468478129177779E-2</v>
      </c>
      <c r="AE10" s="12">
        <f t="shared" si="10"/>
        <v>5.5422981666381098E-3</v>
      </c>
      <c r="AF10" s="12">
        <f t="shared" si="10"/>
        <v>3.6396558082079492E-2</v>
      </c>
      <c r="AG10" s="12">
        <f t="shared" si="10"/>
        <v>3.1421362445766703E-2</v>
      </c>
      <c r="AH10" s="12">
        <f t="shared" si="10"/>
        <v>5.8031716294027168E-3</v>
      </c>
      <c r="AI10" s="666"/>
    </row>
    <row r="11" spans="1:35" x14ac:dyDescent="0.25">
      <c r="A11" s="685" t="s">
        <v>77</v>
      </c>
      <c r="B11" s="97"/>
      <c r="C11" s="123">
        <f>'GP by Card Type'!C7</f>
        <v>-73.520909090909015</v>
      </c>
      <c r="D11" s="123">
        <f>'GP by Card Type'!D7</f>
        <v>11961.205454545448</v>
      </c>
      <c r="E11" s="123">
        <f>'GP by Card Type'!E7</f>
        <v>825.74454545454535</v>
      </c>
      <c r="F11" s="123">
        <f>'GP by Card Type'!F7</f>
        <v>4762.905454545451</v>
      </c>
      <c r="G11" s="123">
        <f>'GP by Card Type'!G7</f>
        <v>1488.0300000000016</v>
      </c>
      <c r="H11" s="123">
        <f>'GP by Card Type'!H7</f>
        <v>1184.5527272727272</v>
      </c>
      <c r="I11" s="123">
        <f>'GP by Card Type'!I7</f>
        <v>-179.44545454545451</v>
      </c>
      <c r="J11" s="123">
        <f>'GP by Card Type'!J7</f>
        <v>-256.52363636363634</v>
      </c>
      <c r="K11" s="124">
        <f>SUM(C11:J11)</f>
        <v>19712.948181818174</v>
      </c>
      <c r="L11" s="686"/>
      <c r="O11" s="685" t="s">
        <v>77</v>
      </c>
      <c r="P11" s="97"/>
      <c r="Q11" s="123">
        <f t="shared" si="0"/>
        <v>-73.520909090909015</v>
      </c>
      <c r="R11" s="123">
        <f t="shared" si="1"/>
        <v>17908.663636363628</v>
      </c>
      <c r="S11" s="123">
        <f t="shared" si="2"/>
        <v>2313.774545454547</v>
      </c>
      <c r="T11" s="123">
        <f t="shared" si="3"/>
        <v>-435.96909090909082</v>
      </c>
      <c r="U11" s="124">
        <f>SUM(Q11:T11)</f>
        <v>19712.948181818178</v>
      </c>
      <c r="V11" s="686"/>
      <c r="X11" s="685" t="s">
        <v>78</v>
      </c>
      <c r="Y11" s="97"/>
      <c r="Z11" s="146">
        <f>C11/C8</f>
        <v>-2.5376723043660414E-3</v>
      </c>
      <c r="AA11" s="146">
        <f t="shared" ref="AA11:AH11" si="11">D11/D8</f>
        <v>1.2046586358154043E-2</v>
      </c>
      <c r="AB11" s="146">
        <f t="shared" si="11"/>
        <v>8.2738632814548449E-3</v>
      </c>
      <c r="AC11" s="146">
        <f t="shared" si="11"/>
        <v>8.2450205173098309E-3</v>
      </c>
      <c r="AD11" s="146">
        <f t="shared" si="11"/>
        <v>4.3089009674677613E-3</v>
      </c>
      <c r="AE11" s="146">
        <f t="shared" si="11"/>
        <v>9.2256322315980559E-3</v>
      </c>
      <c r="AF11" s="146">
        <f t="shared" si="11"/>
        <v>-2.0486815900027572E-2</v>
      </c>
      <c r="AG11" s="146">
        <f t="shared" si="11"/>
        <v>-1.6668711543733717E-2</v>
      </c>
      <c r="AH11" s="146">
        <f t="shared" si="11"/>
        <v>8.9716799287123325E-3</v>
      </c>
      <c r="AI11" s="686"/>
    </row>
    <row r="12" spans="1:35" x14ac:dyDescent="0.25">
      <c r="A12" s="275" t="s">
        <v>18</v>
      </c>
      <c r="B12" s="73">
        <v>33.090000000000003</v>
      </c>
      <c r="C12" s="11">
        <v>3451836.4899999993</v>
      </c>
      <c r="D12" s="74">
        <v>14232255.489999998</v>
      </c>
      <c r="E12" s="11">
        <v>2063144.4300000002</v>
      </c>
      <c r="F12" s="74">
        <v>10380845.669999996</v>
      </c>
      <c r="G12" s="11">
        <v>14191344.989999996</v>
      </c>
      <c r="H12" s="74">
        <v>3283670.7599999988</v>
      </c>
      <c r="I12" s="11">
        <v>1251747</v>
      </c>
      <c r="J12" s="74">
        <v>1056702.6200000001</v>
      </c>
      <c r="K12" s="122">
        <f>SUM(B12:J12)</f>
        <v>49911580.539999984</v>
      </c>
      <c r="L12" s="664">
        <f>K12/$K$44</f>
        <v>0.34276367048615641</v>
      </c>
      <c r="O12" s="663" t="s">
        <v>18</v>
      </c>
      <c r="P12" s="73">
        <v>461.55999999999995</v>
      </c>
      <c r="Q12" s="11">
        <f t="shared" si="0"/>
        <v>3451836.4899999993</v>
      </c>
      <c r="R12" s="74">
        <f t="shared" si="1"/>
        <v>27896771.919999994</v>
      </c>
      <c r="S12" s="11">
        <f t="shared" si="2"/>
        <v>16254489.419999996</v>
      </c>
      <c r="T12" s="11">
        <f t="shared" si="3"/>
        <v>2308449.62</v>
      </c>
      <c r="U12" s="122">
        <f>SUM(P12:T12)</f>
        <v>49912009.00999999</v>
      </c>
      <c r="V12" s="664">
        <f>U12/$K$44</f>
        <v>0.3427666129686085</v>
      </c>
      <c r="X12" s="275" t="s">
        <v>18</v>
      </c>
      <c r="Y12" s="73">
        <v>33.090000000000003</v>
      </c>
      <c r="Z12" s="11">
        <f>C12</f>
        <v>3451836.4899999993</v>
      </c>
      <c r="AA12" s="11">
        <f t="shared" ref="AA12" si="12">D12</f>
        <v>14232255.489999998</v>
      </c>
      <c r="AB12" s="11">
        <f t="shared" ref="AB12" si="13">E12</f>
        <v>2063144.4300000002</v>
      </c>
      <c r="AC12" s="11">
        <f t="shared" ref="AC12" si="14">F12</f>
        <v>10380845.669999996</v>
      </c>
      <c r="AD12" s="11">
        <f t="shared" ref="AD12" si="15">G12</f>
        <v>14191344.989999996</v>
      </c>
      <c r="AE12" s="11">
        <f t="shared" ref="AE12" si="16">H12</f>
        <v>3283670.7599999988</v>
      </c>
      <c r="AF12" s="11">
        <f t="shared" ref="AF12" si="17">I12</f>
        <v>1251747</v>
      </c>
      <c r="AG12" s="11">
        <f t="shared" ref="AG12" si="18">J12</f>
        <v>1056702.6200000001</v>
      </c>
      <c r="AH12" s="11">
        <f t="shared" ref="AH12" si="19">K12</f>
        <v>49911580.539999984</v>
      </c>
      <c r="AI12" s="664">
        <f>AH12/$K$44</f>
        <v>0.34276367048615641</v>
      </c>
    </row>
    <row r="13" spans="1:35" x14ac:dyDescent="0.25">
      <c r="A13" s="665" t="s">
        <v>43</v>
      </c>
      <c r="C13" s="118">
        <f>'MSF By Card'!C8</f>
        <v>52869.518181818159</v>
      </c>
      <c r="D13" s="118">
        <f>'MSF By Card'!D8</f>
        <v>205803.26363636358</v>
      </c>
      <c r="E13" s="118">
        <f>'MSF By Card'!E8</f>
        <v>29898.272727272717</v>
      </c>
      <c r="F13" s="118">
        <f>'MSF By Card'!F8</f>
        <v>149555.40000000002</v>
      </c>
      <c r="G13" s="118">
        <f>'MSF By Card'!G8</f>
        <v>205522.40000000005</v>
      </c>
      <c r="H13" s="118">
        <f>'MSF By Card'!H8</f>
        <v>47205.909090909074</v>
      </c>
      <c r="I13" s="118">
        <f>'MSF By Card'!I8</f>
        <v>18329.754545454529</v>
      </c>
      <c r="J13" s="118">
        <f>'MSF By Card'!J8</f>
        <v>15291.854545454538</v>
      </c>
      <c r="K13" s="119">
        <f>SUM(C13:J13)</f>
        <v>724476.37272727257</v>
      </c>
      <c r="L13" s="666"/>
      <c r="O13" s="665" t="s">
        <v>43</v>
      </c>
      <c r="Q13" s="118">
        <f t="shared" si="0"/>
        <v>52869.518181818159</v>
      </c>
      <c r="R13" s="118">
        <f t="shared" si="1"/>
        <v>402564.57272727264</v>
      </c>
      <c r="S13" s="118">
        <f t="shared" si="2"/>
        <v>235420.67272727276</v>
      </c>
      <c r="T13" s="118">
        <f t="shared" si="3"/>
        <v>33621.609090909071</v>
      </c>
      <c r="U13" s="119">
        <f>SUM(Q13:T13)</f>
        <v>724476.37272727257</v>
      </c>
      <c r="V13" s="666"/>
      <c r="X13" s="665" t="s">
        <v>75</v>
      </c>
      <c r="Z13" s="12">
        <f>C13/C12</f>
        <v>1.5316344889157299E-2</v>
      </c>
      <c r="AA13" s="12">
        <f t="shared" ref="AA13" si="20">D13/D12</f>
        <v>1.4460340722590809E-2</v>
      </c>
      <c r="AB13" s="12">
        <f t="shared" ref="AB13" si="21">E13/E12</f>
        <v>1.4491604316462087E-2</v>
      </c>
      <c r="AC13" s="12">
        <f t="shared" ref="AC13" si="22">F13/F12</f>
        <v>1.4406860939297644E-2</v>
      </c>
      <c r="AD13" s="12">
        <f t="shared" ref="AD13" si="23">G13/G12</f>
        <v>1.4482235485418927E-2</v>
      </c>
      <c r="AE13" s="12">
        <f t="shared" ref="AE13" si="24">H13/H12</f>
        <v>1.4375956830370256E-2</v>
      </c>
      <c r="AF13" s="12">
        <f t="shared" ref="AF13" si="25">I13/I12</f>
        <v>1.4643338107025245E-2</v>
      </c>
      <c r="AG13" s="12">
        <f t="shared" ref="AG13" si="26">J13/J12</f>
        <v>1.447129424686629E-2</v>
      </c>
      <c r="AH13" s="12">
        <f t="shared" ref="AH13" si="27">K13/K12</f>
        <v>1.4515195970335281E-2</v>
      </c>
      <c r="AI13" s="666"/>
    </row>
    <row r="14" spans="1:35" x14ac:dyDescent="0.25">
      <c r="A14" s="665" t="s">
        <v>76</v>
      </c>
      <c r="C14" s="118">
        <f>'COA by Card'!C10</f>
        <v>58306.29</v>
      </c>
      <c r="D14" s="118">
        <f>'COA by Card'!D10</f>
        <v>33089</v>
      </c>
      <c r="E14" s="118">
        <f>'COA by Card'!E10</f>
        <v>11330</v>
      </c>
      <c r="F14" s="118">
        <f>'COA by Card'!F10</f>
        <v>59926</v>
      </c>
      <c r="G14" s="118">
        <f>'COA by Card'!G10</f>
        <v>140277</v>
      </c>
      <c r="H14" s="118">
        <f>'COA by Card'!H10</f>
        <v>15971</v>
      </c>
      <c r="I14" s="118">
        <f>'COA by Card'!I10</f>
        <v>37170</v>
      </c>
      <c r="J14" s="118">
        <f>'COA by Card'!J10</f>
        <v>30719</v>
      </c>
      <c r="K14" s="119">
        <f>SUM(C14:J14)</f>
        <v>386788.29000000004</v>
      </c>
      <c r="L14" s="666"/>
      <c r="O14" s="665" t="s">
        <v>76</v>
      </c>
      <c r="Q14" s="118">
        <f t="shared" si="0"/>
        <v>58306.29</v>
      </c>
      <c r="R14" s="118">
        <f t="shared" si="1"/>
        <v>108986</v>
      </c>
      <c r="S14" s="118">
        <f t="shared" si="2"/>
        <v>151607</v>
      </c>
      <c r="T14" s="118">
        <f t="shared" si="3"/>
        <v>67889</v>
      </c>
      <c r="U14" s="119">
        <f>SUM(Q14:T14)</f>
        <v>386788.29000000004</v>
      </c>
      <c r="V14" s="666"/>
      <c r="X14" s="665" t="s">
        <v>76</v>
      </c>
      <c r="Z14" s="12">
        <f>C14/C12</f>
        <v>1.6891382360929852E-2</v>
      </c>
      <c r="AA14" s="12">
        <f t="shared" ref="AA14" si="28">D14/D12</f>
        <v>2.3249301576443245E-3</v>
      </c>
      <c r="AB14" s="12">
        <f t="shared" ref="AB14" si="29">E14/E12</f>
        <v>5.4916174724616825E-3</v>
      </c>
      <c r="AC14" s="12">
        <f t="shared" ref="AC14" si="30">F14/F12</f>
        <v>5.7727474143250629E-3</v>
      </c>
      <c r="AD14" s="12">
        <f t="shared" ref="AD14" si="31">G14/G12</f>
        <v>9.8846867649857641E-3</v>
      </c>
      <c r="AE14" s="12">
        <f t="shared" ref="AE14" si="32">H14/H12</f>
        <v>4.8637641125750392E-3</v>
      </c>
      <c r="AF14" s="12">
        <f t="shared" ref="AF14" si="33">I14/I12</f>
        <v>2.9694498968241986E-2</v>
      </c>
      <c r="AG14" s="12">
        <f t="shared" ref="AG14" si="34">J14/J12</f>
        <v>2.9070619698094432E-2</v>
      </c>
      <c r="AH14" s="12">
        <f t="shared" ref="AH14" si="35">K14/K12</f>
        <v>7.7494698788394684E-3</v>
      </c>
      <c r="AI14" s="666"/>
    </row>
    <row r="15" spans="1:35" x14ac:dyDescent="0.25">
      <c r="A15" s="685" t="s">
        <v>77</v>
      </c>
      <c r="B15" s="97"/>
      <c r="C15" s="123">
        <f>'GP by Card Type'!C10</f>
        <v>-5436.7718181818418</v>
      </c>
      <c r="D15" s="123">
        <f>'GP by Card Type'!D10</f>
        <v>172714.26363636358</v>
      </c>
      <c r="E15" s="123">
        <f>'GP by Card Type'!E10</f>
        <v>18568.272727272717</v>
      </c>
      <c r="F15" s="123">
        <f>'GP by Card Type'!F10</f>
        <v>89629.400000000023</v>
      </c>
      <c r="G15" s="123">
        <f>'GP by Card Type'!G10</f>
        <v>65245.400000000052</v>
      </c>
      <c r="H15" s="123">
        <f>'GP by Card Type'!H10</f>
        <v>31234.909090909074</v>
      </c>
      <c r="I15" s="123">
        <f>'GP by Card Type'!I10</f>
        <v>-18840.245454545471</v>
      </c>
      <c r="J15" s="123">
        <f>'GP by Card Type'!J10</f>
        <v>-15427.145454545462</v>
      </c>
      <c r="K15" s="124">
        <f>SUM(C15:J15)</f>
        <v>337688.08272727259</v>
      </c>
      <c r="L15" s="686"/>
      <c r="O15" s="685" t="s">
        <v>77</v>
      </c>
      <c r="P15" s="97"/>
      <c r="Q15" s="123">
        <f t="shared" si="0"/>
        <v>-5436.7718181818418</v>
      </c>
      <c r="R15" s="123">
        <f t="shared" si="1"/>
        <v>293578.57272727264</v>
      </c>
      <c r="S15" s="123">
        <f t="shared" si="2"/>
        <v>83813.672727272773</v>
      </c>
      <c r="T15" s="123">
        <f t="shared" si="3"/>
        <v>-34267.390909090929</v>
      </c>
      <c r="U15" s="124">
        <f>SUM(Q15:T15)</f>
        <v>337688.08272727265</v>
      </c>
      <c r="V15" s="686"/>
      <c r="X15" s="685" t="s">
        <v>78</v>
      </c>
      <c r="Y15" s="97"/>
      <c r="Z15" s="146">
        <f>C15/C12</f>
        <v>-1.5750374717725529E-3</v>
      </c>
      <c r="AA15" s="146">
        <f t="shared" ref="AA15" si="36">D15/D12</f>
        <v>1.2135410564946485E-2</v>
      </c>
      <c r="AB15" s="146">
        <f t="shared" ref="AB15" si="37">E15/E12</f>
        <v>8.9999868440004058E-3</v>
      </c>
      <c r="AC15" s="146">
        <f t="shared" ref="AC15" si="38">F15/F12</f>
        <v>8.6341135249725816E-3</v>
      </c>
      <c r="AD15" s="146">
        <f t="shared" ref="AD15" si="39">G15/G12</f>
        <v>4.5975487204331627E-3</v>
      </c>
      <c r="AE15" s="146">
        <f t="shared" ref="AE15" si="40">H15/H12</f>
        <v>9.5121927177952165E-3</v>
      </c>
      <c r="AF15" s="146">
        <f t="shared" ref="AF15" si="41">I15/I12</f>
        <v>-1.5051160861216741E-2</v>
      </c>
      <c r="AG15" s="146">
        <f t="shared" ref="AG15" si="42">J15/J12</f>
        <v>-1.4599325451228141E-2</v>
      </c>
      <c r="AH15" s="146">
        <f t="shared" ref="AH15" si="43">K15/K12</f>
        <v>6.7657260914958132E-3</v>
      </c>
      <c r="AI15" s="686"/>
    </row>
    <row r="16" spans="1:35" x14ac:dyDescent="0.25">
      <c r="A16" s="275" t="s">
        <v>19</v>
      </c>
      <c r="B16" s="73">
        <v>4.05</v>
      </c>
      <c r="C16" s="11">
        <v>204984.90000000002</v>
      </c>
      <c r="D16" s="74">
        <v>2129764.1300000013</v>
      </c>
      <c r="E16" s="11">
        <v>270174.44999999995</v>
      </c>
      <c r="F16" s="74">
        <v>1703842.1900000004</v>
      </c>
      <c r="G16" s="11">
        <v>1710872.9400000004</v>
      </c>
      <c r="H16" s="74">
        <v>351036.35000000009</v>
      </c>
      <c r="I16" s="11">
        <v>143753.76000000015</v>
      </c>
      <c r="J16" s="74">
        <v>145986.39999999991</v>
      </c>
      <c r="K16" s="122">
        <f>SUM(B16:J16)</f>
        <v>6660419.1700000018</v>
      </c>
      <c r="L16" s="664">
        <f>K16/$K$44</f>
        <v>4.5739880344121048E-2</v>
      </c>
      <c r="O16" s="663" t="s">
        <v>80</v>
      </c>
      <c r="P16" s="73">
        <v>461.55999999999995</v>
      </c>
      <c r="Q16" s="11">
        <f t="shared" si="0"/>
        <v>204984.90000000002</v>
      </c>
      <c r="R16" s="74">
        <f t="shared" si="1"/>
        <v>4184642.6700000018</v>
      </c>
      <c r="S16" s="11">
        <f t="shared" si="2"/>
        <v>1981047.3900000004</v>
      </c>
      <c r="T16" s="11">
        <f t="shared" si="3"/>
        <v>289740.16000000003</v>
      </c>
      <c r="U16" s="122">
        <f>SUM(P16:T16)</f>
        <v>6660876.6800000025</v>
      </c>
      <c r="V16" s="664">
        <f>U16/$K$44</f>
        <v>4.5743022256382444E-2</v>
      </c>
      <c r="X16" s="275" t="s">
        <v>19</v>
      </c>
      <c r="Y16" s="73">
        <v>4.05</v>
      </c>
      <c r="Z16" s="11">
        <f>C16</f>
        <v>204984.90000000002</v>
      </c>
      <c r="AA16" s="11">
        <f t="shared" ref="AA16" si="44">D16</f>
        <v>2129764.1300000013</v>
      </c>
      <c r="AB16" s="11">
        <f t="shared" ref="AB16" si="45">E16</f>
        <v>270174.44999999995</v>
      </c>
      <c r="AC16" s="11">
        <f t="shared" ref="AC16" si="46">F16</f>
        <v>1703842.1900000004</v>
      </c>
      <c r="AD16" s="11">
        <f t="shared" ref="AD16" si="47">G16</f>
        <v>1710872.9400000004</v>
      </c>
      <c r="AE16" s="11">
        <f t="shared" ref="AE16" si="48">H16</f>
        <v>351036.35000000009</v>
      </c>
      <c r="AF16" s="11">
        <f t="shared" ref="AF16" si="49">I16</f>
        <v>143753.76000000015</v>
      </c>
      <c r="AG16" s="11">
        <f t="shared" ref="AG16" si="50">J16</f>
        <v>145986.39999999991</v>
      </c>
      <c r="AH16" s="11">
        <f t="shared" ref="AH16" si="51">K16</f>
        <v>6660419.1700000018</v>
      </c>
      <c r="AI16" s="664">
        <f>AH16/$K$44</f>
        <v>4.5739880344121048E-2</v>
      </c>
    </row>
    <row r="17" spans="1:35" x14ac:dyDescent="0.25">
      <c r="A17" s="665" t="s">
        <v>43</v>
      </c>
      <c r="C17" s="118">
        <f>'MSF By Card'!C10</f>
        <v>3346.9545454545455</v>
      </c>
      <c r="D17" s="118">
        <f>'MSF By Card'!D10</f>
        <v>33475.19999999999</v>
      </c>
      <c r="E17" s="118">
        <f>'MSF By Card'!E10</f>
        <v>4094.1909090909126</v>
      </c>
      <c r="F17" s="118">
        <f>'MSF By Card'!F10</f>
        <v>28557.309090909093</v>
      </c>
      <c r="G17" s="118">
        <f>'MSF By Card'!G10</f>
        <v>26903.490909090906</v>
      </c>
      <c r="H17" s="118">
        <f>'MSF By Card'!H10</f>
        <v>5678.2363636363643</v>
      </c>
      <c r="I17" s="118">
        <f>'MSF By Card'!I10</f>
        <v>2190.763636363632</v>
      </c>
      <c r="J17" s="118">
        <f>'MSF By Card'!J10</f>
        <v>2307.2636363636352</v>
      </c>
      <c r="K17" s="119">
        <f>SUM(C17:J17)</f>
        <v>106553.40909090907</v>
      </c>
      <c r="L17" s="666"/>
      <c r="O17" s="665" t="s">
        <v>43</v>
      </c>
      <c r="Q17" s="118">
        <f t="shared" si="0"/>
        <v>3346.9545454545455</v>
      </c>
      <c r="R17" s="118">
        <f t="shared" si="1"/>
        <v>67710.745454545438</v>
      </c>
      <c r="S17" s="118">
        <f t="shared" si="2"/>
        <v>30997.68181818182</v>
      </c>
      <c r="T17" s="118">
        <f t="shared" si="3"/>
        <v>4498.0272727272677</v>
      </c>
      <c r="U17" s="119">
        <f>SUM(Q17:T17)</f>
        <v>106553.40909090907</v>
      </c>
      <c r="V17" s="666"/>
      <c r="X17" s="665" t="s">
        <v>75</v>
      </c>
      <c r="Z17" s="12">
        <f>C17/C16</f>
        <v>1.6327810221409212E-2</v>
      </c>
      <c r="AA17" s="12">
        <f t="shared" ref="AA17" si="52">D17/D16</f>
        <v>1.5717796881103436E-2</v>
      </c>
      <c r="AB17" s="12">
        <f t="shared" ref="AB17" si="53">E17/E16</f>
        <v>1.5153878944107827E-2</v>
      </c>
      <c r="AC17" s="12">
        <f t="shared" ref="AC17" si="54">F17/F16</f>
        <v>1.6760536426738609E-2</v>
      </c>
      <c r="AD17" s="12">
        <f t="shared" ref="AD17" si="55">G17/G16</f>
        <v>1.5725008140634277E-2</v>
      </c>
      <c r="AE17" s="12">
        <f t="shared" ref="AE17" si="56">H17/H16</f>
        <v>1.6175636408127997E-2</v>
      </c>
      <c r="AF17" s="12">
        <f t="shared" ref="AF17" si="57">I17/I16</f>
        <v>1.5239696244213922E-2</v>
      </c>
      <c r="AG17" s="12">
        <f t="shared" ref="AG17" si="58">J17/J16</f>
        <v>1.5804647805299922E-2</v>
      </c>
      <c r="AH17" s="12">
        <f t="shared" ref="AH17" si="59">K17/K16</f>
        <v>1.5998003484652912E-2</v>
      </c>
      <c r="AI17" s="666"/>
    </row>
    <row r="18" spans="1:35" x14ac:dyDescent="0.25">
      <c r="A18" s="665" t="s">
        <v>76</v>
      </c>
      <c r="C18" s="118">
        <f>'COA by Card'!C13</f>
        <v>3551.69</v>
      </c>
      <c r="D18" s="118">
        <f>'COA by Card'!D13</f>
        <v>7933.87</v>
      </c>
      <c r="E18" s="118">
        <f>'COA by Card'!E13</f>
        <v>1719.42</v>
      </c>
      <c r="F18" s="118">
        <f>'COA by Card'!F13</f>
        <v>13031</v>
      </c>
      <c r="G18" s="118">
        <f>'COA by Card'!G13</f>
        <v>17021</v>
      </c>
      <c r="H18" s="118">
        <f>'COA by Card'!H13</f>
        <v>2180.58</v>
      </c>
      <c r="I18" s="118">
        <f>'COA by Card'!I13</f>
        <v>4669.1000000000004</v>
      </c>
      <c r="J18" s="118">
        <f>'COA by Card'!J13</f>
        <v>4630</v>
      </c>
      <c r="K18" s="119">
        <f>SUM(C18:J18)</f>
        <v>54736.659999999996</v>
      </c>
      <c r="L18" s="666"/>
      <c r="O18" s="665" t="s">
        <v>76</v>
      </c>
      <c r="Q18" s="118">
        <f t="shared" si="0"/>
        <v>3551.69</v>
      </c>
      <c r="R18" s="118">
        <f t="shared" si="1"/>
        <v>23145.449999999997</v>
      </c>
      <c r="S18" s="118">
        <f t="shared" si="2"/>
        <v>18740.419999999998</v>
      </c>
      <c r="T18" s="118">
        <f t="shared" si="3"/>
        <v>9299.1</v>
      </c>
      <c r="U18" s="119">
        <f>SUM(Q18:T18)</f>
        <v>54736.659999999996</v>
      </c>
      <c r="V18" s="666"/>
      <c r="X18" s="665" t="s">
        <v>76</v>
      </c>
      <c r="Z18" s="12">
        <f>C18/C16</f>
        <v>1.7326593324679035E-2</v>
      </c>
      <c r="AA18" s="12">
        <f t="shared" ref="AA18" si="60">D18/D16</f>
        <v>3.7252341178269327E-3</v>
      </c>
      <c r="AB18" s="12">
        <f t="shared" ref="AB18" si="61">E18/E16</f>
        <v>6.3641102998451566E-3</v>
      </c>
      <c r="AC18" s="12">
        <f t="shared" ref="AC18" si="62">F18/F16</f>
        <v>7.6480087630650803E-3</v>
      </c>
      <c r="AD18" s="12">
        <f t="shared" ref="AD18" si="63">G18/G16</f>
        <v>9.9487224340575487E-3</v>
      </c>
      <c r="AE18" s="12">
        <f t="shared" ref="AE18" si="64">H18/H16</f>
        <v>6.2118353270252478E-3</v>
      </c>
      <c r="AF18" s="12">
        <f t="shared" ref="AF18" si="65">I18/I16</f>
        <v>3.2479846092373484E-2</v>
      </c>
      <c r="AG18" s="12">
        <f t="shared" ref="AG18" si="66">J18/J16</f>
        <v>3.1715283067463837E-2</v>
      </c>
      <c r="AH18" s="12">
        <f t="shared" ref="AH18" si="67">K18/K16</f>
        <v>8.2182004770129172E-3</v>
      </c>
      <c r="AI18" s="666"/>
    </row>
    <row r="19" spans="1:35" x14ac:dyDescent="0.25">
      <c r="A19" s="685" t="s">
        <v>77</v>
      </c>
      <c r="B19" s="97"/>
      <c r="C19" s="123">
        <f>'GP by Card Type'!C13</f>
        <v>-204.73545454545456</v>
      </c>
      <c r="D19" s="123">
        <f>'GP by Card Type'!D13</f>
        <v>25541.329999999991</v>
      </c>
      <c r="E19" s="123">
        <f>'GP by Card Type'!E13</f>
        <v>2374.7709090909125</v>
      </c>
      <c r="F19" s="123">
        <f>'GP by Card Type'!F13</f>
        <v>15526.309090909093</v>
      </c>
      <c r="G19" s="123">
        <f>'GP by Card Type'!G13</f>
        <v>9882.4909090909059</v>
      </c>
      <c r="H19" s="123">
        <f>'GP by Card Type'!H13</f>
        <v>3497.6563636363644</v>
      </c>
      <c r="I19" s="123">
        <f>'GP by Card Type'!I13</f>
        <v>-2478.3363636363683</v>
      </c>
      <c r="J19" s="123">
        <f>'GP by Card Type'!J13</f>
        <v>-2322.7363636363648</v>
      </c>
      <c r="K19" s="124">
        <f>SUM(C19:J19)</f>
        <v>51816.749090909077</v>
      </c>
      <c r="L19" s="686"/>
      <c r="O19" s="685" t="s">
        <v>77</v>
      </c>
      <c r="P19" s="97"/>
      <c r="Q19" s="123">
        <f t="shared" si="0"/>
        <v>-204.73545454545456</v>
      </c>
      <c r="R19" s="123">
        <f t="shared" si="1"/>
        <v>44565.295454545449</v>
      </c>
      <c r="S19" s="123">
        <f t="shared" si="2"/>
        <v>12257.261818181818</v>
      </c>
      <c r="T19" s="123">
        <f t="shared" si="3"/>
        <v>-4801.0727272727327</v>
      </c>
      <c r="U19" s="124">
        <f>SUM(Q19:T19)</f>
        <v>51816.749090909085</v>
      </c>
      <c r="V19" s="686"/>
      <c r="X19" s="685" t="s">
        <v>78</v>
      </c>
      <c r="Y19" s="97"/>
      <c r="Z19" s="146">
        <f>C19/C16</f>
        <v>-9.9878310326982395E-4</v>
      </c>
      <c r="AA19" s="146">
        <f t="shared" ref="AA19" si="68">D19/D16</f>
        <v>1.1992562763276503E-2</v>
      </c>
      <c r="AB19" s="146">
        <f t="shared" ref="AB19" si="69">E19/E16</f>
        <v>8.7897686442626709E-3</v>
      </c>
      <c r="AC19" s="146">
        <f t="shared" ref="AC19" si="70">F19/F16</f>
        <v>9.1125276636735298E-3</v>
      </c>
      <c r="AD19" s="146">
        <f t="shared" ref="AD19" si="71">G19/G16</f>
        <v>5.7762857065767276E-3</v>
      </c>
      <c r="AE19" s="146">
        <f t="shared" ref="AE19" si="72">H19/H16</f>
        <v>9.9638010811027508E-3</v>
      </c>
      <c r="AF19" s="146">
        <f t="shared" ref="AF19" si="73">I19/I16</f>
        <v>-1.724014984815956E-2</v>
      </c>
      <c r="AG19" s="146">
        <f t="shared" ref="AG19" si="74">J19/J16</f>
        <v>-1.5910635262163915E-2</v>
      </c>
      <c r="AH19" s="146">
        <f t="shared" ref="AH19" si="75">K19/K16</f>
        <v>7.7798030076399929E-3</v>
      </c>
      <c r="AI19" s="686"/>
    </row>
    <row r="20" spans="1:35" x14ac:dyDescent="0.25">
      <c r="A20" s="275" t="s">
        <v>20</v>
      </c>
      <c r="B20" s="73"/>
      <c r="C20" s="11">
        <v>10150.43</v>
      </c>
      <c r="D20" s="74">
        <v>163384.25000000003</v>
      </c>
      <c r="E20" s="11">
        <v>22548.799999999996</v>
      </c>
      <c r="F20" s="74">
        <v>79880.649999999994</v>
      </c>
      <c r="G20" s="11">
        <v>124934.34000000003</v>
      </c>
      <c r="H20" s="74">
        <v>24332.050000000003</v>
      </c>
      <c r="I20" s="11">
        <v>2978.54</v>
      </c>
      <c r="J20" s="74">
        <v>3211.2799999999997</v>
      </c>
      <c r="K20" s="122">
        <f>SUM(B20:J20)</f>
        <v>431420.34</v>
      </c>
      <c r="L20" s="664">
        <f>K20/$K$44</f>
        <v>2.9627436691225572E-3</v>
      </c>
      <c r="O20" s="663" t="s">
        <v>20</v>
      </c>
      <c r="P20" s="73">
        <v>461.55999999999995</v>
      </c>
      <c r="Q20" s="11">
        <f t="shared" si="0"/>
        <v>10150.43</v>
      </c>
      <c r="R20" s="74">
        <f t="shared" si="1"/>
        <v>267596.95</v>
      </c>
      <c r="S20" s="11">
        <f t="shared" si="2"/>
        <v>147483.14000000001</v>
      </c>
      <c r="T20" s="11">
        <f t="shared" si="3"/>
        <v>6189.82</v>
      </c>
      <c r="U20" s="122">
        <f>SUM(P20:T20)</f>
        <v>431881.9</v>
      </c>
      <c r="V20" s="664">
        <f>U20/$K$44</f>
        <v>2.9659133944255414E-3</v>
      </c>
      <c r="X20" s="275" t="s">
        <v>20</v>
      </c>
      <c r="Y20" s="73"/>
      <c r="Z20" s="11">
        <f>C20</f>
        <v>10150.43</v>
      </c>
      <c r="AA20" s="11">
        <f t="shared" ref="AA20" si="76">D20</f>
        <v>163384.25000000003</v>
      </c>
      <c r="AB20" s="11">
        <f t="shared" ref="AB20" si="77">E20</f>
        <v>22548.799999999996</v>
      </c>
      <c r="AC20" s="11">
        <f t="shared" ref="AC20" si="78">F20</f>
        <v>79880.649999999994</v>
      </c>
      <c r="AD20" s="11">
        <f t="shared" ref="AD20" si="79">G20</f>
        <v>124934.34000000003</v>
      </c>
      <c r="AE20" s="11">
        <f t="shared" ref="AE20" si="80">H20</f>
        <v>24332.050000000003</v>
      </c>
      <c r="AF20" s="11">
        <f t="shared" ref="AF20" si="81">I20</f>
        <v>2978.54</v>
      </c>
      <c r="AG20" s="11">
        <f t="shared" ref="AG20" si="82">J20</f>
        <v>3211.2799999999997</v>
      </c>
      <c r="AH20" s="11">
        <f t="shared" ref="AH20" si="83">K20</f>
        <v>431420.34</v>
      </c>
      <c r="AI20" s="664">
        <f>AH20/$K$44</f>
        <v>2.9627436691225572E-3</v>
      </c>
    </row>
    <row r="21" spans="1:35" x14ac:dyDescent="0.25">
      <c r="A21" s="665" t="s">
        <v>43</v>
      </c>
      <c r="C21" s="118">
        <f>'MSF By Card'!C12</f>
        <v>134.00909090909087</v>
      </c>
      <c r="D21" s="118">
        <f>'MSF By Card'!D12</f>
        <v>2159.4818181818182</v>
      </c>
      <c r="E21" s="118">
        <f>'MSF By Card'!E12</f>
        <v>302.66363636363627</v>
      </c>
      <c r="F21" s="118">
        <f>'MSF By Card'!F12</f>
        <v>1091.8727272727274</v>
      </c>
      <c r="G21" s="118">
        <f>'MSF By Card'!G12</f>
        <v>1707.7363636363632</v>
      </c>
      <c r="H21" s="118">
        <f>'MSF By Card'!H12</f>
        <v>325.10000000000008</v>
      </c>
      <c r="I21" s="118">
        <f>'MSF By Card'!I12</f>
        <v>42.427272727272722</v>
      </c>
      <c r="J21" s="118">
        <f>'MSF By Card'!J12</f>
        <v>43.418181818181807</v>
      </c>
      <c r="K21" s="119">
        <f>SUM(C21:J21)</f>
        <v>5806.7090909090903</v>
      </c>
      <c r="L21" s="666"/>
      <c r="O21" s="665" t="s">
        <v>43</v>
      </c>
      <c r="Q21" s="118">
        <f t="shared" si="0"/>
        <v>134.00909090909087</v>
      </c>
      <c r="R21" s="118">
        <f t="shared" si="1"/>
        <v>3576.4545454545455</v>
      </c>
      <c r="S21" s="118">
        <f t="shared" si="2"/>
        <v>2010.3999999999994</v>
      </c>
      <c r="T21" s="118">
        <f t="shared" si="3"/>
        <v>85.84545454545453</v>
      </c>
      <c r="U21" s="119">
        <f>SUM(Q21:T21)</f>
        <v>5806.7090909090903</v>
      </c>
      <c r="V21" s="666"/>
      <c r="X21" s="665" t="s">
        <v>75</v>
      </c>
      <c r="Z21" s="12">
        <f>C21/C20</f>
        <v>1.3202306789869086E-2</v>
      </c>
      <c r="AA21" s="12">
        <f t="shared" ref="AA21" si="84">D21/D20</f>
        <v>1.3217196995315142E-2</v>
      </c>
      <c r="AB21" s="12">
        <f t="shared" ref="AB21" si="85">E21/E20</f>
        <v>1.3422605032801583E-2</v>
      </c>
      <c r="AC21" s="12">
        <f t="shared" ref="AC21" si="86">F21/F20</f>
        <v>1.3668801233749694E-2</v>
      </c>
      <c r="AD21" s="12">
        <f t="shared" ref="AD21" si="87">G21/G20</f>
        <v>1.3669070998705103E-2</v>
      </c>
      <c r="AE21" s="12">
        <f t="shared" ref="AE21" si="88">H21/H20</f>
        <v>1.3360978626954985E-2</v>
      </c>
      <c r="AF21" s="12">
        <f t="shared" ref="AF21" si="89">I21/I20</f>
        <v>1.4244318601486877E-2</v>
      </c>
      <c r="AG21" s="12">
        <f t="shared" ref="AG21" si="90">J21/J20</f>
        <v>1.3520521978208631E-2</v>
      </c>
      <c r="AH21" s="12">
        <f t="shared" ref="AH21" si="91">K21/K20</f>
        <v>1.3459516282679416E-2</v>
      </c>
      <c r="AI21" s="666"/>
    </row>
    <row r="22" spans="1:35" x14ac:dyDescent="0.25">
      <c r="A22" s="665" t="s">
        <v>76</v>
      </c>
      <c r="C22" s="118">
        <f>'COA by Card'!C16</f>
        <v>183.9</v>
      </c>
      <c r="D22" s="118">
        <f>'COA by Card'!D16</f>
        <v>429.37</v>
      </c>
      <c r="E22" s="118">
        <f>'COA by Card'!E16</f>
        <v>160.05000000000001</v>
      </c>
      <c r="F22" s="118">
        <f>'COA by Card'!F16</f>
        <v>548.6</v>
      </c>
      <c r="G22" s="118">
        <f>'COA by Card'!G16</f>
        <v>1520.96</v>
      </c>
      <c r="H22" s="118">
        <f>'COA by Card'!H16</f>
        <v>153.30000000000001</v>
      </c>
      <c r="I22" s="118">
        <f>'COA by Card'!I16</f>
        <v>109.32</v>
      </c>
      <c r="J22" s="118">
        <f>'COA by Card'!J16</f>
        <v>100.36</v>
      </c>
      <c r="K22" s="119">
        <f>SUM(C22:J22)</f>
        <v>3205.8600000000006</v>
      </c>
      <c r="L22" s="666"/>
      <c r="O22" s="665" t="s">
        <v>76</v>
      </c>
      <c r="Q22" s="118">
        <f t="shared" si="0"/>
        <v>183.9</v>
      </c>
      <c r="R22" s="118">
        <f t="shared" si="1"/>
        <v>1131.27</v>
      </c>
      <c r="S22" s="118">
        <f t="shared" si="2"/>
        <v>1681.01</v>
      </c>
      <c r="T22" s="118">
        <f t="shared" si="3"/>
        <v>209.68</v>
      </c>
      <c r="U22" s="119">
        <f>SUM(Q22:T22)</f>
        <v>3205.86</v>
      </c>
      <c r="V22" s="666"/>
      <c r="X22" s="665" t="s">
        <v>76</v>
      </c>
      <c r="Z22" s="12">
        <f>C22/C20</f>
        <v>1.811745906331062E-2</v>
      </c>
      <c r="AA22" s="12">
        <f t="shared" ref="AA22" si="92">D22/D20</f>
        <v>2.6279766868593513E-3</v>
      </c>
      <c r="AB22" s="12">
        <f t="shared" ref="AB22" si="93">E22/E20</f>
        <v>7.0979386929681419E-3</v>
      </c>
      <c r="AC22" s="12">
        <f t="shared" ref="AC22" si="94">F22/F20</f>
        <v>6.867745818292666E-3</v>
      </c>
      <c r="AD22" s="12">
        <f t="shared" ref="AD22" si="95">G22/G20</f>
        <v>1.2174074798009896E-2</v>
      </c>
      <c r="AE22" s="12">
        <f t="shared" ref="AE22" si="96">H22/H20</f>
        <v>6.300332277798212E-3</v>
      </c>
      <c r="AF22" s="12">
        <f t="shared" ref="AF22" si="97">I22/I20</f>
        <v>3.6702545542446965E-2</v>
      </c>
      <c r="AG22" s="12">
        <f t="shared" ref="AG22" si="98">J22/J20</f>
        <v>3.1252335517301513E-2</v>
      </c>
      <c r="AH22" s="12">
        <f t="shared" ref="AH22" si="99">K22/K20</f>
        <v>7.4309431029607933E-3</v>
      </c>
      <c r="AI22" s="666"/>
    </row>
    <row r="23" spans="1:35" x14ac:dyDescent="0.25">
      <c r="A23" s="685" t="s">
        <v>77</v>
      </c>
      <c r="B23" s="97"/>
      <c r="C23" s="123">
        <f>'GP by Card Type'!C16</f>
        <v>-49.890909090909133</v>
      </c>
      <c r="D23" s="123">
        <f>'GP by Card Type'!D16</f>
        <v>1730.1118181818183</v>
      </c>
      <c r="E23" s="123">
        <f>'GP by Card Type'!E16</f>
        <v>142.61363636363626</v>
      </c>
      <c r="F23" s="123">
        <f>'GP by Card Type'!F16</f>
        <v>543.27272727272737</v>
      </c>
      <c r="G23" s="123">
        <f>'GP by Card Type'!G16</f>
        <v>186.77636363636316</v>
      </c>
      <c r="H23" s="123">
        <f>'GP by Card Type'!H16</f>
        <v>171.80000000000007</v>
      </c>
      <c r="I23" s="123">
        <f>'GP by Card Type'!I16</f>
        <v>-66.892727272727271</v>
      </c>
      <c r="J23" s="123">
        <f>'GP by Card Type'!J16</f>
        <v>-56.941818181818192</v>
      </c>
      <c r="K23" s="124">
        <f>SUM(C23:J23)</f>
        <v>2600.8490909090901</v>
      </c>
      <c r="L23" s="686"/>
      <c r="O23" s="685" t="s">
        <v>77</v>
      </c>
      <c r="P23" s="97"/>
      <c r="Q23" s="123">
        <f t="shared" si="0"/>
        <v>-49.890909090909133</v>
      </c>
      <c r="R23" s="123">
        <f t="shared" si="1"/>
        <v>2445.184545454546</v>
      </c>
      <c r="S23" s="123">
        <f t="shared" si="2"/>
        <v>329.38999999999942</v>
      </c>
      <c r="T23" s="123">
        <f t="shared" si="3"/>
        <v>-123.83454545454546</v>
      </c>
      <c r="U23" s="124">
        <f>SUM(Q23:T23)</f>
        <v>2600.8490909090906</v>
      </c>
      <c r="V23" s="686"/>
      <c r="X23" s="685" t="s">
        <v>78</v>
      </c>
      <c r="Y23" s="97"/>
      <c r="Z23" s="146">
        <f>C23/C20</f>
        <v>-4.9151522734415323E-3</v>
      </c>
      <c r="AA23" s="146">
        <f t="shared" ref="AA23" si="100">D23/D20</f>
        <v>1.058922030845579E-2</v>
      </c>
      <c r="AB23" s="146">
        <f t="shared" ref="AB23" si="101">E23/E20</f>
        <v>6.3246663398334405E-3</v>
      </c>
      <c r="AC23" s="146">
        <f t="shared" ref="AC23" si="102">F23/F20</f>
        <v>6.8010554154570276E-3</v>
      </c>
      <c r="AD23" s="146">
        <f t="shared" ref="AD23" si="103">G23/G20</f>
        <v>1.4949962006952061E-3</v>
      </c>
      <c r="AE23" s="146">
        <f t="shared" ref="AE23" si="104">H23/H20</f>
        <v>7.0606463491567724E-3</v>
      </c>
      <c r="AF23" s="146">
        <f t="shared" ref="AF23" si="105">I23/I20</f>
        <v>-2.2458226940960092E-2</v>
      </c>
      <c r="AG23" s="146">
        <f t="shared" ref="AG23" si="106">J23/J20</f>
        <v>-1.7731813539092884E-2</v>
      </c>
      <c r="AH23" s="146">
        <f t="shared" ref="AH23" si="107">K23/K20</f>
        <v>6.0285731797186243E-3</v>
      </c>
      <c r="AI23" s="686"/>
    </row>
    <row r="24" spans="1:35" x14ac:dyDescent="0.25">
      <c r="A24" s="275" t="s">
        <v>21</v>
      </c>
      <c r="B24" s="73"/>
      <c r="C24" s="11">
        <v>158854.65000000002</v>
      </c>
      <c r="D24" s="74">
        <v>2604721.9599999995</v>
      </c>
      <c r="E24" s="11">
        <v>270902.85000000003</v>
      </c>
      <c r="F24" s="74">
        <v>1362981.5900000005</v>
      </c>
      <c r="G24" s="11">
        <v>1382177.67</v>
      </c>
      <c r="H24" s="74">
        <v>368459.10000000033</v>
      </c>
      <c r="I24" s="11">
        <v>72423.789999999994</v>
      </c>
      <c r="J24" s="74">
        <v>80688.459999999977</v>
      </c>
      <c r="K24" s="122">
        <f>SUM(B24:J24)</f>
        <v>6301210.0700000003</v>
      </c>
      <c r="L24" s="664">
        <f>K24/$K$44</f>
        <v>4.3273041421050769E-2</v>
      </c>
      <c r="O24" s="663" t="s">
        <v>21</v>
      </c>
      <c r="P24" s="73">
        <v>461.55999999999995</v>
      </c>
      <c r="Q24" s="11">
        <f t="shared" si="0"/>
        <v>158854.65000000002</v>
      </c>
      <c r="R24" s="74">
        <f t="shared" si="1"/>
        <v>4336162.6500000004</v>
      </c>
      <c r="S24" s="11">
        <f t="shared" si="2"/>
        <v>1653080.52</v>
      </c>
      <c r="T24" s="11">
        <f t="shared" si="3"/>
        <v>153112.24999999997</v>
      </c>
      <c r="U24" s="122">
        <f>SUM(P24:T24)</f>
        <v>6301671.6300000008</v>
      </c>
      <c r="V24" s="664">
        <f>U24/$K$44</f>
        <v>4.327621114635375E-2</v>
      </c>
      <c r="X24" s="275" t="s">
        <v>21</v>
      </c>
      <c r="Y24" s="73"/>
      <c r="Z24" s="11">
        <f>C24</f>
        <v>158854.65000000002</v>
      </c>
      <c r="AA24" s="11">
        <f t="shared" ref="AA24" si="108">D24</f>
        <v>2604721.9599999995</v>
      </c>
      <c r="AB24" s="11">
        <f t="shared" ref="AB24" si="109">E24</f>
        <v>270902.85000000003</v>
      </c>
      <c r="AC24" s="11">
        <f t="shared" ref="AC24" si="110">F24</f>
        <v>1362981.5900000005</v>
      </c>
      <c r="AD24" s="11">
        <f t="shared" ref="AD24" si="111">G24</f>
        <v>1382177.67</v>
      </c>
      <c r="AE24" s="11">
        <f t="shared" ref="AE24" si="112">H24</f>
        <v>368459.10000000033</v>
      </c>
      <c r="AF24" s="11">
        <f t="shared" ref="AF24" si="113">I24</f>
        <v>72423.789999999994</v>
      </c>
      <c r="AG24" s="11">
        <f t="shared" ref="AG24" si="114">J24</f>
        <v>80688.459999999977</v>
      </c>
      <c r="AH24" s="11">
        <f t="shared" ref="AH24" si="115">K24</f>
        <v>6301210.0700000003</v>
      </c>
      <c r="AI24" s="664">
        <f>AH24/$K$44</f>
        <v>4.3273041421050769E-2</v>
      </c>
    </row>
    <row r="25" spans="1:35" x14ac:dyDescent="0.25">
      <c r="A25" s="665" t="s">
        <v>43</v>
      </c>
      <c r="C25" s="118">
        <f>'MSF By Card'!C14</f>
        <v>2323.318181818182</v>
      </c>
      <c r="D25" s="118">
        <f>'MSF By Card'!D14</f>
        <v>36658.018181818174</v>
      </c>
      <c r="E25" s="118">
        <f>'MSF By Card'!E14</f>
        <v>3841.1727272727271</v>
      </c>
      <c r="F25" s="118">
        <f>'MSF By Card'!F14</f>
        <v>19450.454545454555</v>
      </c>
      <c r="G25" s="118">
        <f>'MSF By Card'!G14</f>
        <v>20250.890909090904</v>
      </c>
      <c r="H25" s="118">
        <f>'MSF By Card'!H14</f>
        <v>5264.8818181818142</v>
      </c>
      <c r="I25" s="118">
        <f>'MSF By Card'!I14</f>
        <v>1045.6181818181819</v>
      </c>
      <c r="J25" s="118">
        <f>'MSF By Card'!J14</f>
        <v>1162.1999999999996</v>
      </c>
      <c r="K25" s="119">
        <f>SUM(C25:J25)</f>
        <v>89996.554545454535</v>
      </c>
      <c r="L25" s="666"/>
      <c r="O25" s="665" t="s">
        <v>43</v>
      </c>
      <c r="Q25" s="118">
        <f t="shared" si="0"/>
        <v>2323.318181818182</v>
      </c>
      <c r="R25" s="118">
        <f t="shared" si="1"/>
        <v>61373.354545454546</v>
      </c>
      <c r="S25" s="118">
        <f t="shared" si="2"/>
        <v>24092.063636363629</v>
      </c>
      <c r="T25" s="118">
        <f t="shared" si="3"/>
        <v>2207.8181818181815</v>
      </c>
      <c r="U25" s="119">
        <f>SUM(Q25:T25)</f>
        <v>89996.554545454535</v>
      </c>
      <c r="V25" s="666"/>
      <c r="X25" s="665" t="s">
        <v>75</v>
      </c>
      <c r="Z25" s="12">
        <f>C25/C24</f>
        <v>1.4625433890781175E-2</v>
      </c>
      <c r="AA25" s="12">
        <f t="shared" ref="AA25" si="116">D25/D24</f>
        <v>1.4073678014300681E-2</v>
      </c>
      <c r="AB25" s="12">
        <f t="shared" ref="AB25" si="117">E25/E24</f>
        <v>1.4179152147246611E-2</v>
      </c>
      <c r="AC25" s="12">
        <f t="shared" ref="AC25" si="118">F25/F24</f>
        <v>1.4270518903673928E-2</v>
      </c>
      <c r="AD25" s="12">
        <f t="shared" ref="AD25" si="119">G25/G24</f>
        <v>1.4651438341563502E-2</v>
      </c>
      <c r="AE25" s="12">
        <f t="shared" ref="AE25" si="120">H25/H24</f>
        <v>1.4288917869532356E-2</v>
      </c>
      <c r="AF25" s="12">
        <f t="shared" ref="AF25" si="121">I25/I24</f>
        <v>1.4437496046784931E-2</v>
      </c>
      <c r="AG25" s="12">
        <f t="shared" ref="AG25" si="122">J25/J24</f>
        <v>1.4403546678174301E-2</v>
      </c>
      <c r="AH25" s="12">
        <f t="shared" ref="AH25" si="123">K25/K24</f>
        <v>1.4282424097226539E-2</v>
      </c>
      <c r="AI25" s="666"/>
    </row>
    <row r="26" spans="1:35" x14ac:dyDescent="0.25">
      <c r="A26" s="665" t="s">
        <v>76</v>
      </c>
      <c r="C26" s="118">
        <f>'COA by Card'!C19</f>
        <v>2674.91</v>
      </c>
      <c r="D26" s="118">
        <f>'COA by Card'!D19</f>
        <v>7125.88</v>
      </c>
      <c r="E26" s="118">
        <f>'COA by Card'!E19</f>
        <v>1602</v>
      </c>
      <c r="F26" s="118">
        <f>'COA by Card'!F19</f>
        <v>8601</v>
      </c>
      <c r="G26" s="118">
        <f>'COA by Card'!G19</f>
        <v>13801</v>
      </c>
      <c r="H26" s="118">
        <f>'COA by Card'!H19</f>
        <v>1975</v>
      </c>
      <c r="I26" s="118">
        <f>'COA by Card'!I19</f>
        <v>2135</v>
      </c>
      <c r="J26" s="118">
        <f>'COA by Card'!J19</f>
        <v>2324</v>
      </c>
      <c r="K26" s="119">
        <f>SUM(C26:J26)</f>
        <v>40238.79</v>
      </c>
      <c r="L26" s="666"/>
      <c r="O26" s="665" t="s">
        <v>76</v>
      </c>
      <c r="Q26" s="118">
        <f t="shared" si="0"/>
        <v>2674.91</v>
      </c>
      <c r="R26" s="118">
        <f t="shared" si="1"/>
        <v>17701.88</v>
      </c>
      <c r="S26" s="118">
        <f t="shared" si="2"/>
        <v>15403</v>
      </c>
      <c r="T26" s="118">
        <f t="shared" si="3"/>
        <v>4459</v>
      </c>
      <c r="U26" s="119">
        <f>SUM(Q26:T26)</f>
        <v>40238.79</v>
      </c>
      <c r="V26" s="666"/>
      <c r="X26" s="665" t="s">
        <v>76</v>
      </c>
      <c r="Z26" s="12">
        <f>C26/C24</f>
        <v>1.6838726471022407E-2</v>
      </c>
      <c r="AA26" s="12">
        <f t="shared" ref="AA26" si="124">D26/D24</f>
        <v>2.7357545678311098E-3</v>
      </c>
      <c r="AB26" s="12">
        <f t="shared" ref="AB26" si="125">E26/E24</f>
        <v>5.9135590489358082E-3</v>
      </c>
      <c r="AC26" s="12">
        <f t="shared" ref="AC26" si="126">F26/F24</f>
        <v>6.3104300623752349E-3</v>
      </c>
      <c r="AD26" s="12">
        <f t="shared" ref="AD26" si="127">G26/G24</f>
        <v>9.9849681408903102E-3</v>
      </c>
      <c r="AE26" s="12">
        <f t="shared" ref="AE26" si="128">H26/H24</f>
        <v>5.360160734257882E-3</v>
      </c>
      <c r="AF26" s="12">
        <f t="shared" ref="AF26" si="129">I26/I24</f>
        <v>2.9479263650797619E-2</v>
      </c>
      <c r="AG26" s="12">
        <f t="shared" ref="AG26" si="130">J26/J24</f>
        <v>2.8802136017963418E-2</v>
      </c>
      <c r="AH26" s="12">
        <f t="shared" ref="AH26" si="131">K26/K24</f>
        <v>6.3858829578744706E-3</v>
      </c>
      <c r="AI26" s="666"/>
    </row>
    <row r="27" spans="1:35" x14ac:dyDescent="0.25">
      <c r="A27" s="685" t="s">
        <v>77</v>
      </c>
      <c r="B27" s="97"/>
      <c r="C27" s="123">
        <f>'GP by Card Type'!C19</f>
        <v>-351.59181818181787</v>
      </c>
      <c r="D27" s="123">
        <f>'GP by Card Type'!D19</f>
        <v>29532.138181818173</v>
      </c>
      <c r="E27" s="123">
        <f>'GP by Card Type'!E19</f>
        <v>2239.1727272727271</v>
      </c>
      <c r="F27" s="123">
        <f>'GP by Card Type'!F19</f>
        <v>10849.454545454555</v>
      </c>
      <c r="G27" s="123">
        <f>'GP by Card Type'!G19</f>
        <v>6449.8909090909037</v>
      </c>
      <c r="H27" s="123">
        <f>'GP by Card Type'!H19</f>
        <v>3289.8818181818142</v>
      </c>
      <c r="I27" s="123">
        <f>'GP by Card Type'!I19</f>
        <v>-1089.3818181818181</v>
      </c>
      <c r="J27" s="123">
        <f>'GP by Card Type'!J19</f>
        <v>-1161.8000000000004</v>
      </c>
      <c r="K27" s="124">
        <f>SUM(C27:J27)</f>
        <v>49757.764545454535</v>
      </c>
      <c r="L27" s="686"/>
      <c r="O27" s="685" t="s">
        <v>77</v>
      </c>
      <c r="P27" s="97"/>
      <c r="Q27" s="123">
        <f t="shared" si="0"/>
        <v>-351.59181818181787</v>
      </c>
      <c r="R27" s="123">
        <f t="shared" si="1"/>
        <v>43671.474545454541</v>
      </c>
      <c r="S27" s="123">
        <f t="shared" si="2"/>
        <v>8689.0636363636313</v>
      </c>
      <c r="T27" s="123">
        <f t="shared" si="3"/>
        <v>-2251.1818181818185</v>
      </c>
      <c r="U27" s="124">
        <f>SUM(Q27:T27)</f>
        <v>49757.764545454535</v>
      </c>
      <c r="V27" s="686"/>
      <c r="X27" s="685" t="s">
        <v>78</v>
      </c>
      <c r="Y27" s="97"/>
      <c r="Z27" s="146">
        <f>C27/C24</f>
        <v>-2.2132925802412317E-3</v>
      </c>
      <c r="AA27" s="146">
        <f t="shared" ref="AA27" si="132">D27/D24</f>
        <v>1.1337923446469571E-2</v>
      </c>
      <c r="AB27" s="146">
        <f t="shared" ref="AB27" si="133">E27/E24</f>
        <v>8.2655930983108038E-3</v>
      </c>
      <c r="AC27" s="146">
        <f t="shared" ref="AC27" si="134">F27/F24</f>
        <v>7.9600888412986927E-3</v>
      </c>
      <c r="AD27" s="146">
        <f t="shared" ref="AD27" si="135">G27/G24</f>
        <v>4.6664702006731914E-3</v>
      </c>
      <c r="AE27" s="146">
        <f t="shared" ref="AE27" si="136">H27/H24</f>
        <v>8.9287571352744746E-3</v>
      </c>
      <c r="AF27" s="146">
        <f t="shared" ref="AF27" si="137">I27/I24</f>
        <v>-1.504176760401269E-2</v>
      </c>
      <c r="AG27" s="146">
        <f t="shared" ref="AG27" si="138">J27/J24</f>
        <v>-1.4398589339789119E-2</v>
      </c>
      <c r="AH27" s="146">
        <f t="shared" ref="AH27" si="139">K27/K24</f>
        <v>7.8965411393520698E-3</v>
      </c>
      <c r="AI27" s="686"/>
    </row>
    <row r="28" spans="1:35" x14ac:dyDescent="0.25">
      <c r="A28" s="275" t="s">
        <v>22</v>
      </c>
      <c r="B28" s="73"/>
      <c r="C28" s="11">
        <v>74247.37999999999</v>
      </c>
      <c r="D28" s="74">
        <v>740799.37999999989</v>
      </c>
      <c r="E28" s="11">
        <v>84684.25999999998</v>
      </c>
      <c r="F28" s="74">
        <v>442880.75</v>
      </c>
      <c r="G28" s="11">
        <v>535515.33999999973</v>
      </c>
      <c r="H28" s="74">
        <v>126869.26000000002</v>
      </c>
      <c r="I28" s="11">
        <v>39136.29</v>
      </c>
      <c r="J28" s="74">
        <v>42223.59</v>
      </c>
      <c r="K28" s="122">
        <f>SUM(B28:J28)</f>
        <v>2086356.25</v>
      </c>
      <c r="L28" s="664">
        <f>K28/$K$44</f>
        <v>1.4327879791717235E-2</v>
      </c>
      <c r="O28" s="663" t="s">
        <v>22</v>
      </c>
      <c r="P28" s="73">
        <v>461.55999999999995</v>
      </c>
      <c r="Q28" s="11">
        <f t="shared" si="0"/>
        <v>74247.37999999999</v>
      </c>
      <c r="R28" s="74">
        <f t="shared" si="1"/>
        <v>1310549.3899999999</v>
      </c>
      <c r="S28" s="11">
        <f t="shared" si="2"/>
        <v>620199.59999999974</v>
      </c>
      <c r="T28" s="11">
        <f t="shared" si="3"/>
        <v>81359.88</v>
      </c>
      <c r="U28" s="122">
        <f>SUM(P28:T28)</f>
        <v>2086817.8099999996</v>
      </c>
      <c r="V28" s="664">
        <f>U28/$K$44</f>
        <v>1.4331049517020217E-2</v>
      </c>
      <c r="X28" s="275" t="s">
        <v>22</v>
      </c>
      <c r="Y28" s="73"/>
      <c r="Z28" s="11">
        <f>C28</f>
        <v>74247.37999999999</v>
      </c>
      <c r="AA28" s="11">
        <f t="shared" ref="AA28" si="140">D28</f>
        <v>740799.37999999989</v>
      </c>
      <c r="AB28" s="11">
        <f t="shared" ref="AB28" si="141">E28</f>
        <v>84684.25999999998</v>
      </c>
      <c r="AC28" s="11">
        <f t="shared" ref="AC28" si="142">F28</f>
        <v>442880.75</v>
      </c>
      <c r="AD28" s="11">
        <f t="shared" ref="AD28" si="143">G28</f>
        <v>535515.33999999973</v>
      </c>
      <c r="AE28" s="11">
        <f t="shared" ref="AE28" si="144">H28</f>
        <v>126869.26000000002</v>
      </c>
      <c r="AF28" s="11">
        <f t="shared" ref="AF28" si="145">I28</f>
        <v>39136.29</v>
      </c>
      <c r="AG28" s="11">
        <f t="shared" ref="AG28" si="146">J28</f>
        <v>42223.59</v>
      </c>
      <c r="AH28" s="11">
        <f t="shared" ref="AH28" si="147">K28</f>
        <v>2086356.25</v>
      </c>
      <c r="AI28" s="664">
        <f>AH28/$K$44</f>
        <v>1.4327879791717235E-2</v>
      </c>
    </row>
    <row r="29" spans="1:35" x14ac:dyDescent="0.25">
      <c r="A29" s="665" t="s">
        <v>43</v>
      </c>
      <c r="C29" s="118">
        <f>'MSF By Card'!C16</f>
        <v>1060.4272727272726</v>
      </c>
      <c r="D29" s="118">
        <f>'MSF By Card'!D16</f>
        <v>10445.127272727272</v>
      </c>
      <c r="E29" s="118">
        <f>'MSF By Card'!E16</f>
        <v>1230.9272727272726</v>
      </c>
      <c r="F29" s="118">
        <f>'MSF By Card'!F16</f>
        <v>6442.0545454545454</v>
      </c>
      <c r="G29" s="118">
        <f>'MSF By Card'!G16</f>
        <v>8646.6181818181813</v>
      </c>
      <c r="H29" s="118">
        <f>'MSF By Card'!H16</f>
        <v>1821.3727272727274</v>
      </c>
      <c r="I29" s="118">
        <f>'MSF By Card'!I16</f>
        <v>565.55454545454506</v>
      </c>
      <c r="J29" s="118">
        <f>'MSF By Card'!J16</f>
        <v>585.65454545454543</v>
      </c>
      <c r="K29" s="119">
        <f>SUM(C29:J29)</f>
        <v>30797.736363636359</v>
      </c>
      <c r="L29" s="666"/>
      <c r="O29" s="665" t="s">
        <v>43</v>
      </c>
      <c r="Q29" s="118">
        <f t="shared" si="0"/>
        <v>1060.4272727272726</v>
      </c>
      <c r="R29" s="118">
        <f t="shared" si="1"/>
        <v>18708.554545454543</v>
      </c>
      <c r="S29" s="118">
        <f t="shared" si="2"/>
        <v>9877.545454545454</v>
      </c>
      <c r="T29" s="118">
        <f t="shared" si="3"/>
        <v>1151.2090909090905</v>
      </c>
      <c r="U29" s="119">
        <f>SUM(Q29:T29)</f>
        <v>30797.736363636359</v>
      </c>
      <c r="V29" s="666"/>
      <c r="X29" s="665" t="s">
        <v>75</v>
      </c>
      <c r="Z29" s="12">
        <f>C29/C28</f>
        <v>1.4282352760828365E-2</v>
      </c>
      <c r="AA29" s="12">
        <f t="shared" ref="AA29" si="148">D29/D28</f>
        <v>1.4099805635268314E-2</v>
      </c>
      <c r="AB29" s="12">
        <f t="shared" ref="AB29" si="149">E29/E28</f>
        <v>1.4535490688910463E-2</v>
      </c>
      <c r="AC29" s="12">
        <f t="shared" ref="AC29" si="150">F29/F28</f>
        <v>1.4545799395107025E-2</v>
      </c>
      <c r="AD29" s="12">
        <f t="shared" ref="AD29" si="151">G29/G28</f>
        <v>1.6146350134093612E-2</v>
      </c>
      <c r="AE29" s="12">
        <f t="shared" ref="AE29" si="152">H29/H28</f>
        <v>1.4356296610169612E-2</v>
      </c>
      <c r="AF29" s="12">
        <f t="shared" ref="AF29" si="153">I29/I28</f>
        <v>1.4450898269982797E-2</v>
      </c>
      <c r="AG29" s="12">
        <f t="shared" ref="AG29" si="154">J29/J28</f>
        <v>1.3870316224995209E-2</v>
      </c>
      <c r="AH29" s="12">
        <f t="shared" ref="AH29" si="155">K29/K28</f>
        <v>1.4761494525988243E-2</v>
      </c>
      <c r="AI29" s="666"/>
    </row>
    <row r="30" spans="1:35" x14ac:dyDescent="0.25">
      <c r="A30" s="665" t="s">
        <v>76</v>
      </c>
      <c r="C30" s="118">
        <f>'COA by Card'!C22</f>
        <v>1287.78</v>
      </c>
      <c r="D30" s="118">
        <f>'COA by Card'!D22</f>
        <v>2084.09</v>
      </c>
      <c r="E30" s="118">
        <f>'COA by Card'!E22</f>
        <v>505.36</v>
      </c>
      <c r="F30" s="118">
        <f>'COA by Card'!F22</f>
        <v>2954.1</v>
      </c>
      <c r="G30" s="118">
        <f>'COA by Card'!G22</f>
        <v>5217.2</v>
      </c>
      <c r="H30" s="118">
        <f>'COA by Card'!H22</f>
        <v>639.89</v>
      </c>
      <c r="I30" s="118">
        <f>'COA by Card'!I22</f>
        <v>1148.68</v>
      </c>
      <c r="J30" s="118">
        <f>'COA by Card'!J22</f>
        <v>1210.47</v>
      </c>
      <c r="K30" s="119">
        <f>SUM(C30:J30)</f>
        <v>15047.569999999998</v>
      </c>
      <c r="L30" s="666"/>
      <c r="O30" s="665" t="s">
        <v>76</v>
      </c>
      <c r="Q30" s="118">
        <f t="shared" si="0"/>
        <v>1287.78</v>
      </c>
      <c r="R30" s="118">
        <f t="shared" si="1"/>
        <v>5678.0800000000008</v>
      </c>
      <c r="S30" s="118">
        <f t="shared" si="2"/>
        <v>5722.5599999999995</v>
      </c>
      <c r="T30" s="118">
        <f t="shared" si="3"/>
        <v>2359.15</v>
      </c>
      <c r="U30" s="119">
        <f>SUM(Q30:T30)</f>
        <v>15047.57</v>
      </c>
      <c r="V30" s="666"/>
      <c r="X30" s="665" t="s">
        <v>76</v>
      </c>
      <c r="Z30" s="12">
        <f>C30/C28</f>
        <v>1.7344450403502455E-2</v>
      </c>
      <c r="AA30" s="12">
        <f t="shared" ref="AA30" si="156">D30/D28</f>
        <v>2.8132987908278222E-3</v>
      </c>
      <c r="AB30" s="12">
        <f t="shared" ref="AB30" si="157">E30/E28</f>
        <v>5.9675788629433629E-3</v>
      </c>
      <c r="AC30" s="12">
        <f t="shared" ref="AC30" si="158">F30/F28</f>
        <v>6.670192822785817E-3</v>
      </c>
      <c r="AD30" s="12">
        <f t="shared" ref="AD30" si="159">G30/G28</f>
        <v>9.742391319733255E-3</v>
      </c>
      <c r="AE30" s="12">
        <f t="shared" ref="AE30" si="160">H30/H28</f>
        <v>5.0436961640668498E-3</v>
      </c>
      <c r="AF30" s="12">
        <f t="shared" ref="AF30" si="161">I30/I28</f>
        <v>2.9350763702946807E-2</v>
      </c>
      <c r="AG30" s="12">
        <f t="shared" ref="AG30" si="162">J30/J28</f>
        <v>2.8668097620311302E-2</v>
      </c>
      <c r="AH30" s="12">
        <f t="shared" ref="AH30" si="163">K30/K28</f>
        <v>7.2123684533741527E-3</v>
      </c>
      <c r="AI30" s="666"/>
    </row>
    <row r="31" spans="1:35" x14ac:dyDescent="0.25">
      <c r="A31" s="685" t="s">
        <v>77</v>
      </c>
      <c r="B31" s="97"/>
      <c r="C31" s="123">
        <f>'GP by Card Type'!C22</f>
        <v>-227.35272727272741</v>
      </c>
      <c r="D31" s="123">
        <f>'GP by Card Type'!D22</f>
        <v>8361.0372727272716</v>
      </c>
      <c r="E31" s="123">
        <f>'GP by Card Type'!E22</f>
        <v>725.56727272727255</v>
      </c>
      <c r="F31" s="123">
        <f>'GP by Card Type'!F22</f>
        <v>3487.9545454545455</v>
      </c>
      <c r="G31" s="123">
        <f>'GP by Card Type'!G22</f>
        <v>3429.4181818181814</v>
      </c>
      <c r="H31" s="123">
        <f>'GP by Card Type'!H22</f>
        <v>1181.4827272727275</v>
      </c>
      <c r="I31" s="123">
        <f>'GP by Card Type'!I22</f>
        <v>-583.125454545455</v>
      </c>
      <c r="J31" s="123">
        <f>'GP by Card Type'!J22</f>
        <v>-624.8154545454546</v>
      </c>
      <c r="K31" s="124">
        <f>SUM(C31:J31)</f>
        <v>15750.166363636359</v>
      </c>
      <c r="L31" s="686"/>
      <c r="O31" s="685" t="s">
        <v>77</v>
      </c>
      <c r="P31" s="97"/>
      <c r="Q31" s="123">
        <f t="shared" si="0"/>
        <v>-227.35272727272741</v>
      </c>
      <c r="R31" s="123">
        <f t="shared" si="1"/>
        <v>13030.474545454545</v>
      </c>
      <c r="S31" s="123">
        <f t="shared" si="2"/>
        <v>4154.9854545454536</v>
      </c>
      <c r="T31" s="123">
        <f t="shared" si="3"/>
        <v>-1207.9409090909096</v>
      </c>
      <c r="U31" s="124">
        <f>SUM(Q31:T31)</f>
        <v>15750.166363636359</v>
      </c>
      <c r="V31" s="686"/>
      <c r="X31" s="685" t="s">
        <v>78</v>
      </c>
      <c r="Y31" s="97"/>
      <c r="Z31" s="146">
        <f>C31/C28</f>
        <v>-3.0620976426740908E-3</v>
      </c>
      <c r="AA31" s="146">
        <f t="shared" ref="AA31" si="164">D31/D28</f>
        <v>1.1286506844440491E-2</v>
      </c>
      <c r="AB31" s="146">
        <f t="shared" ref="AB31" si="165">E31/E28</f>
        <v>8.5679118259671012E-3</v>
      </c>
      <c r="AC31" s="146">
        <f t="shared" ref="AC31" si="166">F31/F28</f>
        <v>7.8756065723212081E-3</v>
      </c>
      <c r="AD31" s="146">
        <f t="shared" ref="AD31" si="167">G31/G28</f>
        <v>6.4039588143603565E-3</v>
      </c>
      <c r="AE31" s="146">
        <f t="shared" ref="AE31" si="168">H31/H28</f>
        <v>9.3126004461027614E-3</v>
      </c>
      <c r="AF31" s="146">
        <f t="shared" ref="AF31" si="169">I31/I28</f>
        <v>-1.4899865432964008E-2</v>
      </c>
      <c r="AG31" s="146">
        <f t="shared" ref="AG31" si="170">J31/J28</f>
        <v>-1.4797781395316094E-2</v>
      </c>
      <c r="AH31" s="146">
        <f t="shared" ref="AH31" si="171">K31/K28</f>
        <v>7.549126072614089E-3</v>
      </c>
      <c r="AI31" s="686"/>
    </row>
    <row r="32" spans="1:35" x14ac:dyDescent="0.25">
      <c r="A32" s="275" t="s">
        <v>23</v>
      </c>
      <c r="B32" s="73">
        <v>-11.480000000000004</v>
      </c>
      <c r="C32" s="11">
        <v>206020.00000000009</v>
      </c>
      <c r="D32" s="74">
        <v>3049936.5900000003</v>
      </c>
      <c r="E32" s="11">
        <v>358214.68000000028</v>
      </c>
      <c r="F32" s="74">
        <v>2294382.3500000015</v>
      </c>
      <c r="G32" s="11">
        <v>1813340.4600000007</v>
      </c>
      <c r="H32" s="74">
        <v>538449.53000000014</v>
      </c>
      <c r="I32" s="11">
        <v>111256.40999999999</v>
      </c>
      <c r="J32" s="74">
        <v>118027.94000000002</v>
      </c>
      <c r="K32" s="122">
        <f>SUM(B32:J32)</f>
        <v>8489616.4800000042</v>
      </c>
      <c r="L32" s="664">
        <f>K32/$K$44</f>
        <v>5.8301742285490149E-2</v>
      </c>
      <c r="O32" s="663" t="s">
        <v>23</v>
      </c>
      <c r="P32" s="73">
        <v>461.55999999999995</v>
      </c>
      <c r="Q32" s="11">
        <f t="shared" si="0"/>
        <v>206020.00000000009</v>
      </c>
      <c r="R32" s="74">
        <f t="shared" si="1"/>
        <v>5882768.4700000016</v>
      </c>
      <c r="S32" s="11">
        <f t="shared" si="2"/>
        <v>2171555.1400000011</v>
      </c>
      <c r="T32" s="11">
        <f t="shared" si="3"/>
        <v>229284.35</v>
      </c>
      <c r="U32" s="122">
        <f>SUM(P32:T32)</f>
        <v>8490089.5200000033</v>
      </c>
      <c r="V32" s="664">
        <f>U32/$K$44</f>
        <v>5.8304990848748059E-2</v>
      </c>
      <c r="X32" s="275" t="s">
        <v>23</v>
      </c>
      <c r="Y32" s="73">
        <v>-11.480000000000004</v>
      </c>
      <c r="Z32" s="11">
        <f>C32</f>
        <v>206020.00000000009</v>
      </c>
      <c r="AA32" s="11">
        <f t="shared" ref="AA32" si="172">D32</f>
        <v>3049936.5900000003</v>
      </c>
      <c r="AB32" s="11">
        <f t="shared" ref="AB32" si="173">E32</f>
        <v>358214.68000000028</v>
      </c>
      <c r="AC32" s="11">
        <f t="shared" ref="AC32" si="174">F32</f>
        <v>2294382.3500000015</v>
      </c>
      <c r="AD32" s="11">
        <f t="shared" ref="AD32" si="175">G32</f>
        <v>1813340.4600000007</v>
      </c>
      <c r="AE32" s="11">
        <f t="shared" ref="AE32" si="176">H32</f>
        <v>538449.53000000014</v>
      </c>
      <c r="AF32" s="11">
        <f t="shared" ref="AF32" si="177">I32</f>
        <v>111256.40999999999</v>
      </c>
      <c r="AG32" s="11">
        <f t="shared" ref="AG32" si="178">J32</f>
        <v>118027.94000000002</v>
      </c>
      <c r="AH32" s="11">
        <f t="shared" ref="AH32" si="179">K32</f>
        <v>8489616.4800000042</v>
      </c>
      <c r="AI32" s="664">
        <f>AH32/$K$44</f>
        <v>5.8301742285490149E-2</v>
      </c>
    </row>
    <row r="33" spans="1:36" x14ac:dyDescent="0.25">
      <c r="A33" s="665" t="s">
        <v>43</v>
      </c>
      <c r="C33" s="118">
        <f>'MSF By Card'!C18</f>
        <v>3100.6090909090922</v>
      </c>
      <c r="D33" s="118">
        <f>'MSF By Card'!D18</f>
        <v>44542.145454545469</v>
      </c>
      <c r="E33" s="118">
        <f>'MSF By Card'!E18</f>
        <v>5266.8090909090888</v>
      </c>
      <c r="F33" s="118">
        <f>'MSF By Card'!F18</f>
        <v>33480.83636363635</v>
      </c>
      <c r="G33" s="118">
        <f>'MSF By Card'!G18</f>
        <v>27416.699999999993</v>
      </c>
      <c r="H33" s="118">
        <f>'MSF By Card'!H18</f>
        <v>7882.1545454545458</v>
      </c>
      <c r="I33" s="118">
        <f>'MSF By Card'!I18</f>
        <v>1597.5636363636356</v>
      </c>
      <c r="J33" s="118">
        <f>'MSF By Card'!J18</f>
        <v>1700.100000000001</v>
      </c>
      <c r="K33" s="119">
        <f>SUM(C33:J33)</f>
        <v>124986.91818181817</v>
      </c>
      <c r="L33" s="666"/>
      <c r="O33" s="665" t="s">
        <v>43</v>
      </c>
      <c r="Q33" s="118">
        <f t="shared" si="0"/>
        <v>3100.6090909090922</v>
      </c>
      <c r="R33" s="118">
        <f t="shared" si="1"/>
        <v>85905.136363636353</v>
      </c>
      <c r="S33" s="118">
        <f t="shared" si="2"/>
        <v>32683.509090909083</v>
      </c>
      <c r="T33" s="118">
        <f t="shared" si="3"/>
        <v>3297.6636363636367</v>
      </c>
      <c r="U33" s="119">
        <f>SUM(Q33:T33)</f>
        <v>124986.91818181815</v>
      </c>
      <c r="V33" s="666"/>
      <c r="X33" s="665" t="s">
        <v>75</v>
      </c>
      <c r="Z33" s="12">
        <f>C33/C32</f>
        <v>1.5050039272444865E-2</v>
      </c>
      <c r="AA33" s="12">
        <f t="shared" ref="AA33" si="180">D33/D32</f>
        <v>1.460428574173913E-2</v>
      </c>
      <c r="AB33" s="12">
        <f t="shared" ref="AB33" si="181">E33/E32</f>
        <v>1.4702940401295347E-2</v>
      </c>
      <c r="AC33" s="12">
        <f t="shared" ref="AC33" si="182">F33/F32</f>
        <v>1.4592526988205052E-2</v>
      </c>
      <c r="AD33" s="12">
        <f t="shared" ref="AD33" si="183">G33/G32</f>
        <v>1.5119444254831209E-2</v>
      </c>
      <c r="AE33" s="12">
        <f t="shared" ref="AE33" si="184">H33/H32</f>
        <v>1.4638613474979807E-2</v>
      </c>
      <c r="AF33" s="12">
        <f t="shared" ref="AF33" si="185">I33/I32</f>
        <v>1.435929522050582E-2</v>
      </c>
      <c r="AG33" s="12">
        <f t="shared" ref="AG33" si="186">J33/J32</f>
        <v>1.4404216493145612E-2</v>
      </c>
      <c r="AH33" s="12">
        <f t="shared" ref="AH33" si="187">K33/K32</f>
        <v>1.4722327972796495E-2</v>
      </c>
      <c r="AI33" s="666"/>
    </row>
    <row r="34" spans="1:36" x14ac:dyDescent="0.25">
      <c r="A34" s="665" t="s">
        <v>76</v>
      </c>
      <c r="C34" s="118">
        <f>'COA by Card'!C25</f>
        <v>3655.3</v>
      </c>
      <c r="D34" s="118">
        <f>'COA by Card'!D25</f>
        <v>14219.75</v>
      </c>
      <c r="E34" s="118">
        <f>'COA by Card'!E25</f>
        <v>2749.12</v>
      </c>
      <c r="F34" s="118">
        <f>'COA by Card'!F25</f>
        <v>20047.8</v>
      </c>
      <c r="G34" s="118">
        <f>'COA by Card'!G25</f>
        <v>21395</v>
      </c>
      <c r="H34" s="118">
        <f>'COA by Card'!H25</f>
        <v>4083.48</v>
      </c>
      <c r="I34" s="118">
        <f>'COA by Card'!I25</f>
        <v>3647.08</v>
      </c>
      <c r="J34" s="118">
        <f>'COA by Card'!J25</f>
        <v>3835.72</v>
      </c>
      <c r="K34" s="119">
        <f>SUM(C34:J34)</f>
        <v>73633.25</v>
      </c>
      <c r="L34" s="666"/>
      <c r="O34" s="665" t="s">
        <v>76</v>
      </c>
      <c r="Q34" s="118">
        <f t="shared" si="0"/>
        <v>3655.3</v>
      </c>
      <c r="R34" s="118">
        <f t="shared" si="1"/>
        <v>38351.030000000006</v>
      </c>
      <c r="S34" s="118">
        <f t="shared" si="2"/>
        <v>24144.12</v>
      </c>
      <c r="T34" s="118">
        <f t="shared" si="3"/>
        <v>7482.7999999999993</v>
      </c>
      <c r="U34" s="119">
        <f>SUM(Q34:T34)</f>
        <v>73633.250000000015</v>
      </c>
      <c r="V34" s="666"/>
      <c r="X34" s="665" t="s">
        <v>76</v>
      </c>
      <c r="Z34" s="12">
        <f>C34/C32</f>
        <v>1.7742452189107846E-2</v>
      </c>
      <c r="AA34" s="12">
        <f t="shared" ref="AA34" si="188">D34/D32</f>
        <v>4.6623100449442456E-3</v>
      </c>
      <c r="AB34" s="12">
        <f t="shared" ref="AB34" si="189">E34/E32</f>
        <v>7.6745040153016553E-3</v>
      </c>
      <c r="AC34" s="12">
        <f t="shared" ref="AC34" si="190">F34/F32</f>
        <v>8.7377764216151621E-3</v>
      </c>
      <c r="AD34" s="12">
        <f t="shared" ref="AD34" si="191">G34/G32</f>
        <v>1.1798666864798236E-2</v>
      </c>
      <c r="AE34" s="12">
        <f t="shared" ref="AE34" si="192">H34/H32</f>
        <v>7.5837748432986815E-3</v>
      </c>
      <c r="AF34" s="12">
        <f t="shared" ref="AF34" si="193">I34/I32</f>
        <v>3.2780852806593347E-2</v>
      </c>
      <c r="AG34" s="12">
        <f t="shared" ref="AG34" si="194">J34/J32</f>
        <v>3.2498406733185374E-2</v>
      </c>
      <c r="AH34" s="12">
        <f t="shared" ref="AH34" si="195">K34/K32</f>
        <v>8.6733305530899505E-3</v>
      </c>
      <c r="AI34" s="666"/>
    </row>
    <row r="35" spans="1:36" x14ac:dyDescent="0.25">
      <c r="A35" s="685" t="s">
        <v>77</v>
      </c>
      <c r="B35" s="97"/>
      <c r="C35" s="123">
        <f>'GP by Card Type'!C25</f>
        <v>-554.69090909090801</v>
      </c>
      <c r="D35" s="123">
        <f>'GP by Card Type'!D25</f>
        <v>30322.395454545469</v>
      </c>
      <c r="E35" s="123">
        <f>'GP by Card Type'!E25</f>
        <v>2517.6890909090889</v>
      </c>
      <c r="F35" s="123">
        <f>'GP by Card Type'!F25</f>
        <v>13433.036363636351</v>
      </c>
      <c r="G35" s="123">
        <f>'GP by Card Type'!G25</f>
        <v>6021.6999999999935</v>
      </c>
      <c r="H35" s="123">
        <f>'GP by Card Type'!H25</f>
        <v>3798.6745454545458</v>
      </c>
      <c r="I35" s="123">
        <f>'GP by Card Type'!I25</f>
        <v>-2049.5163636363641</v>
      </c>
      <c r="J35" s="123">
        <f>'GP by Card Type'!J25</f>
        <v>-2135.619999999999</v>
      </c>
      <c r="K35" s="124">
        <f>SUM(C35:J35)</f>
        <v>51353.668181818182</v>
      </c>
      <c r="L35" s="686"/>
      <c r="O35" s="685" t="s">
        <v>77</v>
      </c>
      <c r="P35" s="97"/>
      <c r="Q35" s="123">
        <f t="shared" si="0"/>
        <v>-554.69090909090801</v>
      </c>
      <c r="R35" s="123">
        <f t="shared" si="1"/>
        <v>47554.106363636369</v>
      </c>
      <c r="S35" s="123">
        <f t="shared" si="2"/>
        <v>8539.3890909090824</v>
      </c>
      <c r="T35" s="123">
        <f t="shared" si="3"/>
        <v>-4185.1363636363631</v>
      </c>
      <c r="U35" s="124">
        <f>SUM(Q35:T35)</f>
        <v>51353.668181818182</v>
      </c>
      <c r="V35" s="686"/>
      <c r="X35" s="685" t="s">
        <v>78</v>
      </c>
      <c r="Y35" s="97"/>
      <c r="Z35" s="146">
        <f>C35/C32</f>
        <v>-2.6924129166629829E-3</v>
      </c>
      <c r="AA35" s="146">
        <f t="shared" ref="AA35" si="196">D35/D32</f>
        <v>9.9419756967948844E-3</v>
      </c>
      <c r="AB35" s="146">
        <f t="shared" ref="AB35" si="197">E35/E32</f>
        <v>7.0284363859936918E-3</v>
      </c>
      <c r="AC35" s="146">
        <f t="shared" ref="AC35" si="198">F35/F32</f>
        <v>5.8547505665898893E-3</v>
      </c>
      <c r="AD35" s="146">
        <f t="shared" ref="AD35" si="199">G35/G32</f>
        <v>3.3207773900329734E-3</v>
      </c>
      <c r="AE35" s="146">
        <f t="shared" ref="AE35" si="200">H35/H32</f>
        <v>7.0548386316811248E-3</v>
      </c>
      <c r="AF35" s="146">
        <f t="shared" ref="AF35" si="201">I35/I32</f>
        <v>-1.8421557586087527E-2</v>
      </c>
      <c r="AG35" s="146">
        <f t="shared" ref="AG35" si="202">J35/J32</f>
        <v>-1.8094190240039762E-2</v>
      </c>
      <c r="AH35" s="146">
        <f t="shared" ref="AH35" si="203">K35/K32</f>
        <v>6.0489974197065442E-3</v>
      </c>
      <c r="AI35" s="686"/>
    </row>
    <row r="36" spans="1:36" x14ac:dyDescent="0.25">
      <c r="A36" s="275" t="s">
        <v>24</v>
      </c>
      <c r="B36" s="73"/>
      <c r="C36" s="11">
        <v>4644.67</v>
      </c>
      <c r="D36" s="74">
        <v>175277.07000000004</v>
      </c>
      <c r="E36" s="11">
        <v>18714.93</v>
      </c>
      <c r="F36" s="74">
        <v>86946.41</v>
      </c>
      <c r="G36" s="11">
        <v>78192.75999999998</v>
      </c>
      <c r="H36" s="74">
        <v>22509.51</v>
      </c>
      <c r="I36" s="11">
        <v>1067.22</v>
      </c>
      <c r="J36" s="74">
        <v>538.85</v>
      </c>
      <c r="K36" s="122">
        <f>SUM(B36:J36)</f>
        <v>387891.42000000004</v>
      </c>
      <c r="L36" s="664">
        <f>K36/$K$44</f>
        <v>2.6638123944549273E-3</v>
      </c>
      <c r="O36" s="663" t="s">
        <v>24</v>
      </c>
      <c r="P36" s="73">
        <v>461.55999999999995</v>
      </c>
      <c r="Q36" s="11">
        <f t="shared" si="0"/>
        <v>4644.67</v>
      </c>
      <c r="R36" s="74">
        <f t="shared" si="1"/>
        <v>284732.99000000005</v>
      </c>
      <c r="S36" s="11">
        <f t="shared" si="2"/>
        <v>96907.689999999973</v>
      </c>
      <c r="T36" s="11">
        <f t="shared" si="3"/>
        <v>1606.0700000000002</v>
      </c>
      <c r="U36" s="122">
        <f>SUM(P36:T36)</f>
        <v>388352.98000000004</v>
      </c>
      <c r="V36" s="664">
        <f>U36/$K$44</f>
        <v>2.666982119757912E-3</v>
      </c>
      <c r="X36" s="275" t="s">
        <v>24</v>
      </c>
      <c r="Y36" s="73"/>
      <c r="Z36" s="11">
        <f>C36</f>
        <v>4644.67</v>
      </c>
      <c r="AA36" s="11">
        <f t="shared" ref="AA36" si="204">D36</f>
        <v>175277.07000000004</v>
      </c>
      <c r="AB36" s="11">
        <f t="shared" ref="AB36" si="205">E36</f>
        <v>18714.93</v>
      </c>
      <c r="AC36" s="11">
        <f t="shared" ref="AC36" si="206">F36</f>
        <v>86946.41</v>
      </c>
      <c r="AD36" s="11">
        <f t="shared" ref="AD36" si="207">G36</f>
        <v>78192.75999999998</v>
      </c>
      <c r="AE36" s="11">
        <f t="shared" ref="AE36" si="208">H36</f>
        <v>22509.51</v>
      </c>
      <c r="AF36" s="11">
        <f t="shared" ref="AF36" si="209">I36</f>
        <v>1067.22</v>
      </c>
      <c r="AG36" s="11">
        <f t="shared" ref="AG36" si="210">J36</f>
        <v>538.85</v>
      </c>
      <c r="AH36" s="11">
        <f t="shared" ref="AH36" si="211">K36</f>
        <v>387891.42000000004</v>
      </c>
      <c r="AI36" s="664">
        <f>AH36/$K$44</f>
        <v>2.6638123944549273E-3</v>
      </c>
    </row>
    <row r="37" spans="1:36" x14ac:dyDescent="0.25">
      <c r="A37" s="665" t="s">
        <v>43</v>
      </c>
      <c r="C37" s="118">
        <f>'MSF By Card'!C20</f>
        <v>68.572727272727263</v>
      </c>
      <c r="D37" s="118">
        <f>'MSF By Card'!D20</f>
        <v>2587.2090909090907</v>
      </c>
      <c r="E37" s="118">
        <f>'MSF By Card'!E20</f>
        <v>276.0545454545454</v>
      </c>
      <c r="F37" s="118">
        <f>'MSF By Card'!F20</f>
        <v>1277.6181818181817</v>
      </c>
      <c r="G37" s="118">
        <f>'MSF By Card'!G20</f>
        <v>1154.8999999999994</v>
      </c>
      <c r="H37" s="118">
        <f>'MSF By Card'!H20</f>
        <v>331.32727272727266</v>
      </c>
      <c r="I37" s="118">
        <f>'MSF By Card'!I20</f>
        <v>15.745454545454544</v>
      </c>
      <c r="J37" s="118">
        <f>'MSF By Card'!J20</f>
        <v>7.9545454545454541</v>
      </c>
      <c r="K37" s="119">
        <f>SUM(C37:J37)</f>
        <v>5719.3818181818169</v>
      </c>
      <c r="L37" s="666"/>
      <c r="O37" s="665" t="s">
        <v>43</v>
      </c>
      <c r="Q37" s="118">
        <f t="shared" si="0"/>
        <v>68.572727272727263</v>
      </c>
      <c r="R37" s="118">
        <f t="shared" si="1"/>
        <v>4196.1545454545449</v>
      </c>
      <c r="S37" s="118">
        <f t="shared" si="2"/>
        <v>1430.9545454545448</v>
      </c>
      <c r="T37" s="118">
        <f t="shared" si="3"/>
        <v>23.7</v>
      </c>
      <c r="U37" s="119">
        <f>SUM(Q37:T37)</f>
        <v>5719.3818181818169</v>
      </c>
      <c r="V37" s="666"/>
      <c r="X37" s="665" t="s">
        <v>75</v>
      </c>
      <c r="Z37" s="12">
        <f>C37/C36</f>
        <v>1.4763745814606261E-2</v>
      </c>
      <c r="AA37" s="12">
        <f t="shared" ref="AA37" si="212">D37/D36</f>
        <v>1.4760681992853316E-2</v>
      </c>
      <c r="AB37" s="12">
        <f t="shared" ref="AB37" si="213">E37/E36</f>
        <v>1.4750498423159767E-2</v>
      </c>
      <c r="AC37" s="12">
        <f t="shared" ref="AC37" si="214">F37/F36</f>
        <v>1.4694317819656747E-2</v>
      </c>
      <c r="AD37" s="12">
        <f t="shared" ref="AD37" si="215">G37/G36</f>
        <v>1.476990964380845E-2</v>
      </c>
      <c r="AE37" s="12">
        <f t="shared" ref="AE37" si="216">H37/H36</f>
        <v>1.4719435151066046E-2</v>
      </c>
      <c r="AF37" s="12">
        <f t="shared" ref="AF37" si="217">I37/I36</f>
        <v>1.4753710149223725E-2</v>
      </c>
      <c r="AG37" s="12">
        <f t="shared" ref="AG37" si="218">J37/J36</f>
        <v>1.4762077488253603E-2</v>
      </c>
      <c r="AH37" s="12">
        <f t="shared" ref="AH37" si="219">K37/K36</f>
        <v>1.4744801053299441E-2</v>
      </c>
      <c r="AI37" s="666"/>
    </row>
    <row r="38" spans="1:36" x14ac:dyDescent="0.25">
      <c r="A38" s="665" t="s">
        <v>76</v>
      </c>
      <c r="C38" s="118">
        <f>'COA by Card'!C28</f>
        <v>81.290000000000006</v>
      </c>
      <c r="D38" s="118">
        <f>'COA by Card'!D28</f>
        <v>482.99</v>
      </c>
      <c r="E38" s="118">
        <f>'COA by Card'!E28</f>
        <v>111.29</v>
      </c>
      <c r="F38" s="118">
        <f>'COA by Card'!F28</f>
        <v>536.76</v>
      </c>
      <c r="G38" s="118">
        <f>'COA by Card'!G28</f>
        <v>791.65</v>
      </c>
      <c r="H38" s="118">
        <f>'COA by Card'!H28</f>
        <v>142.38</v>
      </c>
      <c r="I38" s="118">
        <f>'COA by Card'!I28</f>
        <v>28.91</v>
      </c>
      <c r="J38" s="118">
        <f>'COA by Card'!J28</f>
        <v>17.010000000000002</v>
      </c>
      <c r="K38" s="119">
        <f>SUM(C38:J38)</f>
        <v>2192.2800000000002</v>
      </c>
      <c r="L38" s="666"/>
      <c r="O38" s="665" t="s">
        <v>76</v>
      </c>
      <c r="Q38" s="118">
        <f t="shared" si="0"/>
        <v>81.290000000000006</v>
      </c>
      <c r="R38" s="118">
        <f t="shared" si="1"/>
        <v>1162.1300000000001</v>
      </c>
      <c r="S38" s="118">
        <f t="shared" si="2"/>
        <v>902.93999999999994</v>
      </c>
      <c r="T38" s="118">
        <f t="shared" si="3"/>
        <v>45.92</v>
      </c>
      <c r="U38" s="119">
        <f>SUM(Q38:T38)</f>
        <v>2192.2800000000002</v>
      </c>
      <c r="V38" s="666"/>
      <c r="X38" s="665" t="s">
        <v>76</v>
      </c>
      <c r="Z38" s="12">
        <f>C38/C36</f>
        <v>1.7501781612041332E-2</v>
      </c>
      <c r="AA38" s="12">
        <f t="shared" ref="AA38" si="220">D38/D36</f>
        <v>2.7555800653217212E-3</v>
      </c>
      <c r="AB38" s="12">
        <f t="shared" ref="AB38" si="221">E38/E36</f>
        <v>5.9465891670447074E-3</v>
      </c>
      <c r="AC38" s="12">
        <f t="shared" ref="AC38" si="222">F38/F36</f>
        <v>6.1734578805496395E-3</v>
      </c>
      <c r="AD38" s="12">
        <f t="shared" ref="AD38" si="223">G38/G36</f>
        <v>1.0124338877410136E-2</v>
      </c>
      <c r="AE38" s="12">
        <f t="shared" ref="AE38" si="224">H38/H36</f>
        <v>6.3253264953346388E-3</v>
      </c>
      <c r="AF38" s="12">
        <f t="shared" ref="AF38" si="225">I38/I36</f>
        <v>2.7089072543617997E-2</v>
      </c>
      <c r="AG38" s="12">
        <f t="shared" ref="AG38" si="226">J38/J36</f>
        <v>3.1567226500881507E-2</v>
      </c>
      <c r="AH38" s="12">
        <f t="shared" ref="AH38" si="227">K38/K36</f>
        <v>5.651787812166611E-3</v>
      </c>
      <c r="AI38" s="666"/>
    </row>
    <row r="39" spans="1:36" x14ac:dyDescent="0.25">
      <c r="A39" s="687" t="s">
        <v>77</v>
      </c>
      <c r="B39" s="98"/>
      <c r="C39" s="125">
        <f>'GP by Card Type'!C28</f>
        <v>-12.717272727272743</v>
      </c>
      <c r="D39" s="125">
        <f>'GP by Card Type'!D28</f>
        <v>2104.2190909090905</v>
      </c>
      <c r="E39" s="125">
        <f>'GP by Card Type'!E28</f>
        <v>164.76454545454538</v>
      </c>
      <c r="F39" s="125">
        <f>'GP by Card Type'!F28</f>
        <v>740.85818181818172</v>
      </c>
      <c r="G39" s="125">
        <f>'GP by Card Type'!G28</f>
        <v>363.24999999999943</v>
      </c>
      <c r="H39" s="125">
        <f>'GP by Card Type'!H28</f>
        <v>188.94727272727266</v>
      </c>
      <c r="I39" s="125">
        <f>'GP by Card Type'!I28</f>
        <v>-13.164545454545456</v>
      </c>
      <c r="J39" s="126">
        <f>'GP by Card Type'!J28</f>
        <v>-9.0554545454545483</v>
      </c>
      <c r="K39" s="127">
        <f>SUM(C39:J39)</f>
        <v>3527.1018181818172</v>
      </c>
      <c r="L39" s="688"/>
      <c r="O39" s="685" t="s">
        <v>77</v>
      </c>
      <c r="P39" s="97"/>
      <c r="Q39" s="123">
        <f t="shared" si="0"/>
        <v>-12.717272727272743</v>
      </c>
      <c r="R39" s="123">
        <f t="shared" si="1"/>
        <v>3034.0245454545452</v>
      </c>
      <c r="S39" s="123">
        <f t="shared" si="2"/>
        <v>528.01454545454476</v>
      </c>
      <c r="T39" s="123">
        <f t="shared" si="3"/>
        <v>-22.220000000000006</v>
      </c>
      <c r="U39" s="124">
        <f>SUM(Q39:T39)</f>
        <v>3527.1018181818176</v>
      </c>
      <c r="V39" s="686"/>
      <c r="X39" s="685" t="s">
        <v>78</v>
      </c>
      <c r="Y39" s="98"/>
      <c r="Z39" s="146">
        <f>C39/C36</f>
        <v>-2.7380357974350691E-3</v>
      </c>
      <c r="AA39" s="146">
        <f t="shared" ref="AA39" si="228">D39/D36</f>
        <v>1.2005101927531594E-2</v>
      </c>
      <c r="AB39" s="146">
        <f t="shared" ref="AB39" si="229">E39/E36</f>
        <v>8.8039092561150584E-3</v>
      </c>
      <c r="AC39" s="146">
        <f t="shared" ref="AC39" si="230">F39/F36</f>
        <v>8.5208599391071085E-3</v>
      </c>
      <c r="AD39" s="146">
        <f t="shared" ref="AD39" si="231">G39/G36</f>
        <v>4.6455707663983154E-3</v>
      </c>
      <c r="AE39" s="146">
        <f t="shared" ref="AE39" si="232">H39/H36</f>
        <v>8.3941086557314075E-3</v>
      </c>
      <c r="AF39" s="146">
        <f t="shared" ref="AF39" si="233">I39/I36</f>
        <v>-1.2335362394394273E-2</v>
      </c>
      <c r="AG39" s="146">
        <f t="shared" ref="AG39" si="234">J39/J36</f>
        <v>-1.6805149012627908E-2</v>
      </c>
      <c r="AH39" s="146">
        <f t="shared" ref="AH39" si="235">K39/K36</f>
        <v>9.0930132411328329E-3</v>
      </c>
      <c r="AI39" s="688"/>
    </row>
    <row r="40" spans="1:36" x14ac:dyDescent="0.25">
      <c r="A40" s="277" t="s">
        <v>25</v>
      </c>
      <c r="B40" s="73"/>
      <c r="C40" s="99">
        <f>C60</f>
        <v>120700.87000000001</v>
      </c>
      <c r="D40" s="99">
        <f t="shared" ref="D40:J40" si="236">D60</f>
        <v>0</v>
      </c>
      <c r="E40" s="99">
        <f t="shared" si="236"/>
        <v>41308.69</v>
      </c>
      <c r="F40" s="96">
        <f t="shared" si="236"/>
        <v>508165.40999999992</v>
      </c>
      <c r="G40" s="99">
        <f t="shared" si="236"/>
        <v>142675.57</v>
      </c>
      <c r="H40" s="96">
        <f t="shared" si="236"/>
        <v>94535.090000000011</v>
      </c>
      <c r="I40" s="99">
        <f t="shared" si="236"/>
        <v>160029.21</v>
      </c>
      <c r="J40" s="96">
        <f t="shared" si="236"/>
        <v>233001.33000000005</v>
      </c>
      <c r="K40" s="122">
        <f>SUM(B40:J40)</f>
        <v>1300416.1700000002</v>
      </c>
      <c r="L40" s="664">
        <f>K40/$K$44</f>
        <v>8.9305009932821051E-3</v>
      </c>
      <c r="O40" s="663" t="s">
        <v>25</v>
      </c>
      <c r="P40" s="73">
        <v>461.55999999999995</v>
      </c>
      <c r="Q40" s="11">
        <f t="shared" si="0"/>
        <v>120700.87000000001</v>
      </c>
      <c r="R40" s="74">
        <f t="shared" si="1"/>
        <v>602700.49999999988</v>
      </c>
      <c r="S40" s="11">
        <f t="shared" si="2"/>
        <v>183984.26</v>
      </c>
      <c r="T40" s="11">
        <f t="shared" si="3"/>
        <v>393030.54000000004</v>
      </c>
      <c r="U40" s="122">
        <f>SUM(P40:T40)</f>
        <v>1300877.73</v>
      </c>
      <c r="V40" s="664">
        <f>U40/$K$44</f>
        <v>8.9336707185850885E-3</v>
      </c>
      <c r="X40" s="277" t="s">
        <v>25</v>
      </c>
      <c r="Y40" s="73"/>
      <c r="Z40" s="11">
        <f>C40</f>
        <v>120700.87000000001</v>
      </c>
      <c r="AA40" s="11">
        <f t="shared" ref="AA40" si="237">D40</f>
        <v>0</v>
      </c>
      <c r="AB40" s="11">
        <f t="shared" ref="AB40" si="238">E40</f>
        <v>41308.69</v>
      </c>
      <c r="AC40" s="11">
        <f t="shared" ref="AC40" si="239">F40</f>
        <v>508165.40999999992</v>
      </c>
      <c r="AD40" s="11">
        <f t="shared" ref="AD40" si="240">G40</f>
        <v>142675.57</v>
      </c>
      <c r="AE40" s="11">
        <f t="shared" ref="AE40" si="241">H40</f>
        <v>94535.090000000011</v>
      </c>
      <c r="AF40" s="11">
        <f t="shared" ref="AF40" si="242">I40</f>
        <v>160029.21</v>
      </c>
      <c r="AG40" s="11">
        <f t="shared" ref="AG40" si="243">J40</f>
        <v>233001.33000000005</v>
      </c>
      <c r="AH40" s="11">
        <f t="shared" ref="AH40" si="244">K40</f>
        <v>1300416.1700000002</v>
      </c>
      <c r="AI40" s="664">
        <f>AH40/$K$44</f>
        <v>8.9305009932821051E-3</v>
      </c>
    </row>
    <row r="41" spans="1:36" x14ac:dyDescent="0.25">
      <c r="A41" s="689" t="s">
        <v>43</v>
      </c>
      <c r="C41" s="118">
        <f>'MSF By Card'!C22</f>
        <v>2236.1272727272726</v>
      </c>
      <c r="D41" s="118">
        <f>'MSF By Card'!D22</f>
        <v>0</v>
      </c>
      <c r="E41" s="118">
        <f>'MSF By Card'!E22</f>
        <v>369.08181818181822</v>
      </c>
      <c r="F41" s="7">
        <f>'MSF By Card'!F22</f>
        <v>4186.7363636363643</v>
      </c>
      <c r="G41" s="118">
        <f>'MSF By Card'!G22</f>
        <v>1265.9000000000001</v>
      </c>
      <c r="H41" s="7">
        <f>'MSF By Card'!H22</f>
        <v>712.52727272727259</v>
      </c>
      <c r="I41" s="118">
        <f>'MSF By Card'!I22</f>
        <v>1479.6090909090904</v>
      </c>
      <c r="J41" s="7">
        <f>'MSF By Card'!J22</f>
        <v>1767.4454545454539</v>
      </c>
      <c r="K41" s="119">
        <f>SUM(C41:J41)</f>
        <v>12017.427272727273</v>
      </c>
      <c r="L41" s="666"/>
      <c r="O41" s="665" t="s">
        <v>43</v>
      </c>
      <c r="Q41" s="118">
        <f t="shared" si="0"/>
        <v>2236.1272727272726</v>
      </c>
      <c r="R41" s="118">
        <f t="shared" si="1"/>
        <v>4899.2636363636366</v>
      </c>
      <c r="S41" s="118">
        <f t="shared" si="2"/>
        <v>1634.9818181818182</v>
      </c>
      <c r="T41" s="118">
        <f t="shared" si="3"/>
        <v>3247.0545454545445</v>
      </c>
      <c r="U41" s="119">
        <f>SUM(Q41:T41)</f>
        <v>12017.427272727271</v>
      </c>
      <c r="V41" s="666"/>
      <c r="X41" s="665" t="s">
        <v>75</v>
      </c>
      <c r="Z41" s="12">
        <f>C41/C40</f>
        <v>1.8526190181788024E-2</v>
      </c>
      <c r="AA41" s="12" t="e">
        <f t="shared" ref="AA41" si="245">D41/D40</f>
        <v>#DIV/0!</v>
      </c>
      <c r="AB41" s="12">
        <f t="shared" ref="AB41" si="246">E41/E40</f>
        <v>8.9347257969647105E-3</v>
      </c>
      <c r="AC41" s="12">
        <f t="shared" ref="AC41" si="247">F41/F40</f>
        <v>8.238924336932664E-3</v>
      </c>
      <c r="AD41" s="12">
        <f t="shared" ref="AD41" si="248">G41/G40</f>
        <v>8.8725771342634211E-3</v>
      </c>
      <c r="AE41" s="12">
        <f t="shared" ref="AE41" si="249">H41/H40</f>
        <v>7.537172416372296E-3</v>
      </c>
      <c r="AF41" s="12">
        <f t="shared" ref="AF41" si="250">I41/I40</f>
        <v>9.2458688692463736E-3</v>
      </c>
      <c r="AG41" s="12">
        <f t="shared" ref="AG41" si="251">J41/J40</f>
        <v>7.5855595096622564E-3</v>
      </c>
      <c r="AH41" s="12">
        <f t="shared" ref="AH41" si="252">K41/K40</f>
        <v>9.2412164274512758E-3</v>
      </c>
      <c r="AI41" s="666"/>
    </row>
    <row r="42" spans="1:36" x14ac:dyDescent="0.25">
      <c r="A42" s="689" t="s">
        <v>76</v>
      </c>
      <c r="C42" s="118">
        <f>'COA by Card'!C31</f>
        <v>2142.5699999999997</v>
      </c>
      <c r="D42" s="118">
        <f>'COA by Card'!D31</f>
        <v>0</v>
      </c>
      <c r="E42" s="118">
        <f>'COA by Card'!E31</f>
        <v>251.15545454545455</v>
      </c>
      <c r="F42" s="7">
        <f>'COA by Card'!F31</f>
        <v>2986.9818181818187</v>
      </c>
      <c r="G42" s="118">
        <f>'COA by Card'!G31</f>
        <v>1298.7572727272727</v>
      </c>
      <c r="H42" s="7">
        <f>'COA by Card'!H31</f>
        <v>622.91454545454542</v>
      </c>
      <c r="I42" s="118">
        <f>'COA by Card'!I31</f>
        <v>1540.8772727272728</v>
      </c>
      <c r="J42" s="7">
        <f>'COA by Card'!J31</f>
        <v>1346.8836363636365</v>
      </c>
      <c r="K42" s="119">
        <f>SUM(C42:J42)</f>
        <v>10190.140000000001</v>
      </c>
      <c r="L42" s="666"/>
      <c r="O42" s="665" t="s">
        <v>76</v>
      </c>
      <c r="Q42" s="118">
        <f t="shared" si="0"/>
        <v>2142.5699999999997</v>
      </c>
      <c r="R42" s="118">
        <f t="shared" si="1"/>
        <v>3609.8963636363642</v>
      </c>
      <c r="S42" s="118">
        <f t="shared" si="2"/>
        <v>1549.9127272727274</v>
      </c>
      <c r="T42" s="118">
        <f t="shared" si="3"/>
        <v>2887.7609090909091</v>
      </c>
      <c r="U42" s="119">
        <f>SUM(Q42:T42)</f>
        <v>10190.14</v>
      </c>
      <c r="V42" s="666"/>
      <c r="X42" s="665" t="s">
        <v>76</v>
      </c>
      <c r="Z42" s="12">
        <f>C42/C40</f>
        <v>1.775107337668734E-2</v>
      </c>
      <c r="AA42" s="12" t="e">
        <f t="shared" ref="AA42" si="253">D42/D40</f>
        <v>#DIV/0!</v>
      </c>
      <c r="AB42" s="12">
        <f t="shared" ref="AB42" si="254">E42/E40</f>
        <v>6.0799665771404162E-3</v>
      </c>
      <c r="AC42" s="12">
        <f t="shared" ref="AC42" si="255">F42/F40</f>
        <v>5.877971541159834E-3</v>
      </c>
      <c r="AD42" s="12">
        <f t="shared" ref="AD42" si="256">G42/G40</f>
        <v>9.1028707488413942E-3</v>
      </c>
      <c r="AE42" s="12">
        <f t="shared" ref="AE42" si="257">H42/H40</f>
        <v>6.5892415763770399E-3</v>
      </c>
      <c r="AF42" s="12">
        <f t="shared" ref="AF42" si="258">I42/I40</f>
        <v>9.6287251104174854E-3</v>
      </c>
      <c r="AG42" s="12">
        <f t="shared" ref="AG42" si="259">J42/J40</f>
        <v>5.7805834686164076E-3</v>
      </c>
      <c r="AH42" s="12">
        <f t="shared" ref="AH42" si="260">K42/K40</f>
        <v>7.83606066664028E-3</v>
      </c>
      <c r="AI42" s="666"/>
    </row>
    <row r="43" spans="1:36" x14ac:dyDescent="0.25">
      <c r="A43" s="687" t="s">
        <v>77</v>
      </c>
      <c r="B43" s="98"/>
      <c r="C43" s="125">
        <f>'GP by Card Type'!C31</f>
        <v>93.557272727272903</v>
      </c>
      <c r="D43" s="125">
        <f>'GP by Card Type'!D31</f>
        <v>0</v>
      </c>
      <c r="E43" s="125">
        <f>'GP by Card Type'!E31</f>
        <v>117.92636363636367</v>
      </c>
      <c r="F43" s="138">
        <f>'GP by Card Type'!F31</f>
        <v>1199.7545454545457</v>
      </c>
      <c r="G43" s="125">
        <f>'GP by Card Type'!G31</f>
        <v>-32.85727272727263</v>
      </c>
      <c r="H43" s="138">
        <f>'GP by Card Type'!H31</f>
        <v>89.61272727272717</v>
      </c>
      <c r="I43" s="125">
        <f>'GP by Card Type'!I31</f>
        <v>-61.268181818182484</v>
      </c>
      <c r="J43" s="138">
        <f>'GP by Card Type'!J31</f>
        <v>420.56181818181744</v>
      </c>
      <c r="K43" s="139">
        <f>SUM(C43:J43)</f>
        <v>1827.2872727272718</v>
      </c>
      <c r="L43" s="688"/>
      <c r="O43" s="685" t="s">
        <v>77</v>
      </c>
      <c r="P43" s="97"/>
      <c r="Q43" s="123">
        <f t="shared" si="0"/>
        <v>93.557272727272903</v>
      </c>
      <c r="R43" s="123">
        <f t="shared" si="1"/>
        <v>1289.3672727272728</v>
      </c>
      <c r="S43" s="123">
        <f t="shared" si="2"/>
        <v>85.069090909091045</v>
      </c>
      <c r="T43" s="123">
        <f t="shared" si="3"/>
        <v>359.29363636363496</v>
      </c>
      <c r="U43" s="124">
        <f>SUM(Q43:T43)</f>
        <v>1827.2872727272718</v>
      </c>
      <c r="V43" s="686"/>
      <c r="X43" s="685" t="s">
        <v>78</v>
      </c>
      <c r="Y43" s="98"/>
      <c r="Z43" s="146">
        <f>C43/C40</f>
        <v>7.7511680510068313E-4</v>
      </c>
      <c r="AA43" s="146" t="e">
        <f t="shared" ref="AA43" si="261">D43/D40</f>
        <v>#DIV/0!</v>
      </c>
      <c r="AB43" s="146">
        <f t="shared" ref="AB43" si="262">E43/E40</f>
        <v>2.8547592198242952E-3</v>
      </c>
      <c r="AC43" s="146">
        <f t="shared" ref="AC43" si="263">F43/F40</f>
        <v>2.3609527957728291E-3</v>
      </c>
      <c r="AD43" s="146">
        <f t="shared" ref="AD43" si="264">G43/G40</f>
        <v>-2.3029361457797313E-4</v>
      </c>
      <c r="AE43" s="146">
        <f t="shared" ref="AE43" si="265">H43/H40</f>
        <v>9.4793083999525633E-4</v>
      </c>
      <c r="AF43" s="146">
        <f t="shared" ref="AF43" si="266">I43/I40</f>
        <v>-3.8285624117111172E-4</v>
      </c>
      <c r="AG43" s="146">
        <f>J43/J40</f>
        <v>1.8049760410458488E-3</v>
      </c>
      <c r="AH43" s="146">
        <f t="shared" ref="AH43" si="267">K43/K40</f>
        <v>1.405155760810996E-3</v>
      </c>
      <c r="AI43" s="688"/>
    </row>
    <row r="44" spans="1:36" x14ac:dyDescent="0.25">
      <c r="A44" s="131" t="s">
        <v>81</v>
      </c>
      <c r="B44" s="132">
        <v>804.56999999999994</v>
      </c>
      <c r="C44" s="133">
        <f>SUM(C4,C8,C12,C16,C20,C24,C28,C32,C36,C40)</f>
        <v>7773747.9000000004</v>
      </c>
      <c r="D44" s="140">
        <f t="shared" ref="D44:J44" si="268">SUM(D4,D8,D12,D16,D20,D24,D28,D32,D36,D40)</f>
        <v>46435674.090000018</v>
      </c>
      <c r="E44" s="133">
        <f t="shared" si="268"/>
        <v>5845626.4700000016</v>
      </c>
      <c r="F44" s="140">
        <f t="shared" si="268"/>
        <v>32721693.030000001</v>
      </c>
      <c r="G44" s="133">
        <f t="shared" si="268"/>
        <v>37104582.900000006</v>
      </c>
      <c r="H44" s="140">
        <f t="shared" si="268"/>
        <v>8618063.129999999</v>
      </c>
      <c r="I44" s="133">
        <f t="shared" si="268"/>
        <v>3623457.5800000005</v>
      </c>
      <c r="J44" s="140">
        <f t="shared" si="268"/>
        <v>3491492.3000000003</v>
      </c>
      <c r="K44" s="133">
        <f>SUM(B44:J44)</f>
        <v>145615141.97000006</v>
      </c>
      <c r="L44" s="134">
        <f>K44/$K$44</f>
        <v>1</v>
      </c>
      <c r="M44" s="71">
        <f>SUM(C44:J44)</f>
        <v>145614337.40000004</v>
      </c>
      <c r="O44" s="83" t="s">
        <v>10</v>
      </c>
      <c r="P44" s="142">
        <v>461.55999999999995</v>
      </c>
      <c r="Q44" s="143">
        <f t="shared" si="0"/>
        <v>7773747.9000000004</v>
      </c>
      <c r="R44" s="144">
        <f t="shared" si="1"/>
        <v>87775430.250000015</v>
      </c>
      <c r="S44" s="143">
        <f t="shared" si="2"/>
        <v>42950209.370000005</v>
      </c>
      <c r="T44" s="143">
        <f t="shared" si="3"/>
        <v>7114949.8800000008</v>
      </c>
      <c r="U44" s="133">
        <f>SUM(P44:T44)</f>
        <v>145614798.96000001</v>
      </c>
      <c r="V44" s="134">
        <f>U44/$K$44</f>
        <v>0.99999764440706229</v>
      </c>
      <c r="W44" s="71">
        <f>SUM(Q44:T44)</f>
        <v>145614337.40000004</v>
      </c>
      <c r="X44" s="131" t="s">
        <v>10</v>
      </c>
      <c r="Y44" s="132">
        <v>804.56999999999994</v>
      </c>
      <c r="Z44" s="143">
        <f>C44</f>
        <v>7773747.9000000004</v>
      </c>
      <c r="AA44" s="143">
        <f t="shared" ref="AA44" si="269">D44</f>
        <v>46435674.090000018</v>
      </c>
      <c r="AB44" s="143">
        <f t="shared" ref="AB44" si="270">E44</f>
        <v>5845626.4700000016</v>
      </c>
      <c r="AC44" s="143">
        <f t="shared" ref="AC44" si="271">F44</f>
        <v>32721693.030000001</v>
      </c>
      <c r="AD44" s="143">
        <f t="shared" ref="AD44" si="272">G44</f>
        <v>37104582.900000006</v>
      </c>
      <c r="AE44" s="143">
        <f t="shared" ref="AE44" si="273">H44</f>
        <v>8618063.129999999</v>
      </c>
      <c r="AF44" s="143">
        <f t="shared" ref="AF44" si="274">I44</f>
        <v>3623457.5800000005</v>
      </c>
      <c r="AG44" s="143">
        <f t="shared" ref="AG44" si="275">J44</f>
        <v>3491492.3000000003</v>
      </c>
      <c r="AH44" s="143">
        <f t="shared" ref="AH44" si="276">K44</f>
        <v>145615141.97000006</v>
      </c>
      <c r="AI44" s="134">
        <f>AH44/$K$44</f>
        <v>1</v>
      </c>
      <c r="AJ44" s="71">
        <f>SUM(Z44:AG44)</f>
        <v>145614337.40000004</v>
      </c>
    </row>
    <row r="45" spans="1:36" x14ac:dyDescent="0.25">
      <c r="A45" s="129" t="s">
        <v>43</v>
      </c>
      <c r="B45" s="33"/>
      <c r="C45" s="141">
        <f>'MSF By Card'!C24</f>
        <v>120445.7818181818</v>
      </c>
      <c r="D45" s="128">
        <f>'MSF By Card'!D24</f>
        <v>663995.53636363626</v>
      </c>
      <c r="E45" s="141">
        <f>'MSF By Card'!E24</f>
        <v>83860.490909090862</v>
      </c>
      <c r="F45" s="128">
        <f>'MSF By Card'!F24</f>
        <v>468632.70909090899</v>
      </c>
      <c r="G45" s="141">
        <f>'MSF By Card'!G24</f>
        <v>551713.47272727289</v>
      </c>
      <c r="H45" s="128">
        <f>'MSF By Card'!H24</f>
        <v>123228.34545454542</v>
      </c>
      <c r="I45" s="141">
        <f>'MSF By Card'!I24</f>
        <v>52705.709090909069</v>
      </c>
      <c r="J45" s="128">
        <f>'MSF By Card'!J24</f>
        <v>48733.409090909074</v>
      </c>
      <c r="K45" s="130">
        <f>SUM(C45:J45)</f>
        <v>2113315.4545454546</v>
      </c>
      <c r="L45" s="135"/>
      <c r="O45" s="129" t="s">
        <v>43</v>
      </c>
      <c r="P45" s="33"/>
      <c r="Q45" s="141">
        <f t="shared" si="0"/>
        <v>120445.7818181818</v>
      </c>
      <c r="R45" s="141">
        <f t="shared" si="1"/>
        <v>1255856.5909090906</v>
      </c>
      <c r="S45" s="141">
        <f t="shared" si="2"/>
        <v>635573.96363636374</v>
      </c>
      <c r="T45" s="141">
        <f t="shared" si="3"/>
        <v>101439.11818181814</v>
      </c>
      <c r="U45" s="130">
        <f>SUM(Q45:T45)</f>
        <v>2113315.4545454541</v>
      </c>
      <c r="V45" s="145"/>
      <c r="X45" s="129" t="s">
        <v>75</v>
      </c>
      <c r="Y45" s="33"/>
      <c r="Z45" s="147">
        <f>C45/C44</f>
        <v>1.5493914051185246E-2</v>
      </c>
      <c r="AA45" s="147">
        <f t="shared" ref="AA45" si="277">D45/D44</f>
        <v>1.4299254815956867E-2</v>
      </c>
      <c r="AB45" s="147">
        <f t="shared" ref="AB45" si="278">E45/E44</f>
        <v>1.4345851781578312E-2</v>
      </c>
      <c r="AC45" s="147">
        <f t="shared" ref="AC45" si="279">F45/F44</f>
        <v>1.432177450785495E-2</v>
      </c>
      <c r="AD45" s="147">
        <f t="shared" ref="AD45" si="280">G45/G44</f>
        <v>1.4869146331982426E-2</v>
      </c>
      <c r="AE45" s="147">
        <f t="shared" ref="AE45" si="281">H45/H44</f>
        <v>1.4298844600659758E-2</v>
      </c>
      <c r="AF45" s="147">
        <f t="shared" ref="AF45" si="282">I45/I44</f>
        <v>1.4545695079148425E-2</v>
      </c>
      <c r="AG45" s="147">
        <f t="shared" ref="AG45" si="283">J45/J44</f>
        <v>1.3957759291323389E-2</v>
      </c>
      <c r="AH45" s="147">
        <f t="shared" ref="AH45" si="284">K45/K44</f>
        <v>1.4513019909569875E-2</v>
      </c>
      <c r="AI45" s="135"/>
    </row>
    <row r="46" spans="1:36" x14ac:dyDescent="0.25">
      <c r="A46" s="129" t="s">
        <v>76</v>
      </c>
      <c r="B46" s="33"/>
      <c r="C46" s="141">
        <f>'COA by Card'!C34</f>
        <v>131934.40999999997</v>
      </c>
      <c r="D46" s="128">
        <f>'COA by Card'!D34</f>
        <v>133087.70000000001</v>
      </c>
      <c r="E46" s="141">
        <f>'COA by Card'!E34</f>
        <v>35211.755454545455</v>
      </c>
      <c r="F46" s="128">
        <f>'COA by Card'!F34</f>
        <v>215727.4118181818</v>
      </c>
      <c r="G46" s="141">
        <f>'COA by Card'!G34</f>
        <v>374267.7372727273</v>
      </c>
      <c r="H46" s="128">
        <f>'COA by Card'!H34</f>
        <v>47321.164545454551</v>
      </c>
      <c r="I46" s="141">
        <f>'COA by Card'!I34</f>
        <v>106029.30727272728</v>
      </c>
      <c r="J46" s="128">
        <f>'COA by Card'!J34</f>
        <v>99615.933636363625</v>
      </c>
      <c r="K46" s="130">
        <f>SUM(C46:J46)</f>
        <v>1143195.42</v>
      </c>
      <c r="L46" s="135"/>
      <c r="O46" s="129" t="s">
        <v>76</v>
      </c>
      <c r="P46" s="33"/>
      <c r="Q46" s="141">
        <f t="shared" si="0"/>
        <v>131934.40999999997</v>
      </c>
      <c r="R46" s="141">
        <f t="shared" si="1"/>
        <v>396136.27636363637</v>
      </c>
      <c r="S46" s="141">
        <f t="shared" si="2"/>
        <v>409479.49272727274</v>
      </c>
      <c r="T46" s="141">
        <f t="shared" si="3"/>
        <v>205645.24090909091</v>
      </c>
      <c r="U46" s="130">
        <f>SUM(Q46:T46)</f>
        <v>1143195.42</v>
      </c>
      <c r="V46" s="145"/>
      <c r="X46" s="129" t="s">
        <v>76</v>
      </c>
      <c r="Y46" s="33"/>
      <c r="Z46" s="147">
        <f>C46/C44</f>
        <v>1.6971789116032431E-2</v>
      </c>
      <c r="AA46" s="147">
        <f t="shared" ref="AA46" si="285">D46/D44</f>
        <v>2.8660658557912613E-3</v>
      </c>
      <c r="AB46" s="147">
        <f t="shared" ref="AB46" si="286">E46/E44</f>
        <v>6.0236068170372581E-3</v>
      </c>
      <c r="AC46" s="147">
        <f t="shared" ref="AC46" si="287">F46/F44</f>
        <v>6.5927949272184035E-3</v>
      </c>
      <c r="AD46" s="147">
        <f t="shared" ref="AD46" si="288">G46/G44</f>
        <v>1.0086833162399658E-2</v>
      </c>
      <c r="AE46" s="147">
        <f t="shared" ref="AE46" si="289">H46/H44</f>
        <v>5.4909280463178219E-3</v>
      </c>
      <c r="AF46" s="147">
        <f t="shared" ref="AF46" si="290">I46/I44</f>
        <v>2.9261914878751599E-2</v>
      </c>
      <c r="AG46" s="147">
        <f t="shared" ref="AG46" si="291">J46/J44</f>
        <v>2.8531047780447235E-2</v>
      </c>
      <c r="AH46" s="147">
        <f>K46/K44</f>
        <v>7.8508004355448378E-3</v>
      </c>
      <c r="AI46" s="135"/>
    </row>
    <row r="47" spans="1:36" x14ac:dyDescent="0.25">
      <c r="A47" s="685" t="s">
        <v>77</v>
      </c>
      <c r="B47" s="136"/>
      <c r="C47" s="690">
        <f>'GP by Card Type'!C34</f>
        <v>-11488.628181818189</v>
      </c>
      <c r="D47" s="691">
        <f>'GP by Card Type'!D34</f>
        <v>530907.83636363631</v>
      </c>
      <c r="E47" s="690">
        <f>'GP by Card Type'!E34</f>
        <v>48648.735454545444</v>
      </c>
      <c r="F47" s="691">
        <f>'GP by Card Type'!F34</f>
        <v>252905.2972727273</v>
      </c>
      <c r="G47" s="690">
        <f>'GP by Card Type'!G34</f>
        <v>177445.73545454562</v>
      </c>
      <c r="H47" s="691">
        <f>'GP by Card Type'!H34</f>
        <v>75907.180909090879</v>
      </c>
      <c r="I47" s="690">
        <f>'GP by Card Type'!I34</f>
        <v>-53323.598181818212</v>
      </c>
      <c r="J47" s="691">
        <f>'GP by Card Type'!J34</f>
        <v>-50882.524545454551</v>
      </c>
      <c r="K47" s="124">
        <f>SUM(C47:J47)</f>
        <v>970120.03454545466</v>
      </c>
      <c r="L47" s="137"/>
      <c r="O47" s="685" t="s">
        <v>77</v>
      </c>
      <c r="P47" s="97"/>
      <c r="Q47" s="123">
        <f t="shared" si="0"/>
        <v>-11488.628181818189</v>
      </c>
      <c r="R47" s="123">
        <f t="shared" si="1"/>
        <v>859720.31454545446</v>
      </c>
      <c r="S47" s="123">
        <f t="shared" si="2"/>
        <v>226094.47090909106</v>
      </c>
      <c r="T47" s="123">
        <f t="shared" si="3"/>
        <v>-104206.12272727277</v>
      </c>
      <c r="U47" s="124">
        <f>SUM(Q47:T47)</f>
        <v>970120.03454545443</v>
      </c>
      <c r="V47" s="686"/>
      <c r="X47" s="685" t="s">
        <v>78</v>
      </c>
      <c r="Y47" s="136"/>
      <c r="Z47" s="146">
        <f>C47/C44</f>
        <v>-1.4778750648471875E-3</v>
      </c>
      <c r="AA47" s="146">
        <f t="shared" ref="AA47" si="292">D47/D44</f>
        <v>1.1433188960165607E-2</v>
      </c>
      <c r="AB47" s="146">
        <f t="shared" ref="AB47" si="293">E47/E44</f>
        <v>8.3222449645410593E-3</v>
      </c>
      <c r="AC47" s="146">
        <f t="shared" ref="AC47" si="294">F47/F44</f>
        <v>7.7289795806365488E-3</v>
      </c>
      <c r="AD47" s="146">
        <f t="shared" ref="AD47" si="295">G47/G44</f>
        <v>4.7823131695827687E-3</v>
      </c>
      <c r="AE47" s="146">
        <f t="shared" ref="AE47" si="296">H47/H44</f>
        <v>8.8079165543419376E-3</v>
      </c>
      <c r="AF47" s="146">
        <f t="shared" ref="AF47" si="297">I47/I44</f>
        <v>-1.4716219799603174E-2</v>
      </c>
      <c r="AG47" s="146">
        <f t="shared" ref="AG47" si="298">J47/J44</f>
        <v>-1.4573288489123848E-2</v>
      </c>
      <c r="AH47" s="146">
        <f t="shared" ref="AH47" si="299">K47/K44</f>
        <v>6.6622194740250358E-3</v>
      </c>
      <c r="AI47" s="137"/>
    </row>
    <row r="48" spans="1:36" x14ac:dyDescent="0.25">
      <c r="C48" s="3">
        <f>C47/$K$47</f>
        <v>-1.1842481108228152E-2</v>
      </c>
      <c r="D48" s="3">
        <f t="shared" ref="D48:K48" si="300">D47/$K$47</f>
        <v>0.54725994460303129</v>
      </c>
      <c r="E48" s="3">
        <f t="shared" si="300"/>
        <v>5.0147129965561005E-2</v>
      </c>
      <c r="F48" s="3">
        <f t="shared" si="300"/>
        <v>0.26069485039676038</v>
      </c>
      <c r="G48" s="3">
        <f t="shared" si="300"/>
        <v>0.18291111319815903</v>
      </c>
      <c r="H48" s="3">
        <f t="shared" si="300"/>
        <v>7.8245143081347501E-2</v>
      </c>
      <c r="I48" s="3">
        <f t="shared" si="300"/>
        <v>-5.4965979758167492E-2</v>
      </c>
      <c r="J48" s="3">
        <f t="shared" si="300"/>
        <v>-5.2449720378463606E-2</v>
      </c>
      <c r="K48" s="3">
        <f t="shared" si="300"/>
        <v>1</v>
      </c>
      <c r="O48" s="276" t="s">
        <v>64</v>
      </c>
      <c r="Q48" s="3">
        <f>Q47/$U$47</f>
        <v>-1.1842481108228154E-2</v>
      </c>
      <c r="R48" s="3">
        <f t="shared" ref="R48:U48" si="301">R47/$U$47</f>
        <v>0.88619993808113928</v>
      </c>
      <c r="S48" s="3">
        <f t="shared" si="301"/>
        <v>0.23305824316372009</v>
      </c>
      <c r="T48" s="3">
        <f t="shared" si="301"/>
        <v>-0.10741570013663114</v>
      </c>
      <c r="U48" s="3">
        <f t="shared" si="301"/>
        <v>1</v>
      </c>
      <c r="Z48" s="3"/>
      <c r="AA48" s="3"/>
      <c r="AB48" s="3"/>
      <c r="AC48" s="3"/>
      <c r="AD48" s="3"/>
      <c r="AE48" s="3"/>
      <c r="AF48" s="3"/>
      <c r="AG48" s="3"/>
      <c r="AH48" s="3"/>
    </row>
    <row r="49" spans="1:35" ht="29.1" customHeight="1" x14ac:dyDescent="0.25">
      <c r="A49" s="37" t="s">
        <v>1</v>
      </c>
      <c r="B49" s="38"/>
      <c r="C49" s="38" t="s">
        <v>2</v>
      </c>
      <c r="D49" s="38" t="s">
        <v>3</v>
      </c>
      <c r="E49" s="39" t="s">
        <v>4</v>
      </c>
      <c r="F49" s="39" t="s">
        <v>5</v>
      </c>
      <c r="G49" s="39" t="s">
        <v>6</v>
      </c>
      <c r="H49" s="39" t="s">
        <v>7</v>
      </c>
      <c r="I49" s="39" t="s">
        <v>26</v>
      </c>
      <c r="J49" s="39" t="s">
        <v>27</v>
      </c>
      <c r="K49" s="40" t="s">
        <v>10</v>
      </c>
      <c r="O49" s="37" t="s">
        <v>1</v>
      </c>
      <c r="P49" s="38"/>
      <c r="Q49" s="38" t="s">
        <v>2</v>
      </c>
      <c r="R49" s="38" t="s">
        <v>3</v>
      </c>
      <c r="S49" s="39" t="s">
        <v>4</v>
      </c>
      <c r="T49" s="39" t="s">
        <v>26</v>
      </c>
      <c r="U49" s="40" t="s">
        <v>10</v>
      </c>
      <c r="X49" s="37" t="s">
        <v>1</v>
      </c>
      <c r="Y49" s="38"/>
      <c r="Z49" s="38" t="s">
        <v>2</v>
      </c>
      <c r="AA49" s="38" t="s">
        <v>3</v>
      </c>
      <c r="AB49" s="39" t="s">
        <v>4</v>
      </c>
      <c r="AC49" s="39" t="s">
        <v>5</v>
      </c>
      <c r="AD49" s="39" t="s">
        <v>6</v>
      </c>
      <c r="AE49" s="39" t="s">
        <v>7</v>
      </c>
      <c r="AF49" s="39" t="s">
        <v>26</v>
      </c>
      <c r="AG49" s="39" t="s">
        <v>27</v>
      </c>
      <c r="AH49" s="40" t="s">
        <v>10</v>
      </c>
    </row>
    <row r="50" spans="1:35" x14ac:dyDescent="0.25">
      <c r="A50" s="41" t="s">
        <v>12</v>
      </c>
      <c r="B50" s="42" t="s">
        <v>13</v>
      </c>
      <c r="C50" s="43" t="s">
        <v>13</v>
      </c>
      <c r="D50" s="43" t="s">
        <v>13</v>
      </c>
      <c r="E50" s="43" t="s">
        <v>13</v>
      </c>
      <c r="F50" s="43" t="s">
        <v>13</v>
      </c>
      <c r="G50" s="43" t="s">
        <v>13</v>
      </c>
      <c r="H50" s="43" t="s">
        <v>13</v>
      </c>
      <c r="I50" s="43" t="s">
        <v>13</v>
      </c>
      <c r="J50" s="43" t="s">
        <v>13</v>
      </c>
      <c r="K50" s="44" t="s">
        <v>13</v>
      </c>
      <c r="O50" s="41" t="s">
        <v>12</v>
      </c>
      <c r="P50" s="42" t="s">
        <v>13</v>
      </c>
      <c r="Q50" s="43" t="s">
        <v>13</v>
      </c>
      <c r="R50" s="43" t="s">
        <v>13</v>
      </c>
      <c r="S50" s="43" t="s">
        <v>13</v>
      </c>
      <c r="T50" s="43" t="s">
        <v>13</v>
      </c>
      <c r="U50" s="44" t="s">
        <v>13</v>
      </c>
      <c r="X50" s="41" t="s">
        <v>12</v>
      </c>
      <c r="Y50" s="42" t="s">
        <v>13</v>
      </c>
      <c r="Z50" s="43" t="s">
        <v>13</v>
      </c>
      <c r="AA50" s="43" t="s">
        <v>13</v>
      </c>
      <c r="AB50" s="43" t="s">
        <v>13</v>
      </c>
      <c r="AC50" s="43" t="s">
        <v>13</v>
      </c>
      <c r="AD50" s="43" t="s">
        <v>13</v>
      </c>
      <c r="AE50" s="43" t="s">
        <v>13</v>
      </c>
      <c r="AF50" s="43" t="s">
        <v>13</v>
      </c>
      <c r="AG50" s="43" t="s">
        <v>13</v>
      </c>
      <c r="AH50" s="44" t="s">
        <v>13</v>
      </c>
    </row>
    <row r="51" spans="1:35" x14ac:dyDescent="0.25">
      <c r="A51" s="669" t="s">
        <v>28</v>
      </c>
      <c r="B51" s="45"/>
      <c r="C51" s="45"/>
      <c r="D51" s="45"/>
      <c r="E51" s="45"/>
      <c r="F51" s="45"/>
      <c r="G51" s="45"/>
      <c r="H51" s="45"/>
      <c r="I51" s="45"/>
      <c r="J51" s="45"/>
      <c r="K51" s="46"/>
      <c r="O51" s="669" t="s">
        <v>28</v>
      </c>
      <c r="P51" s="45"/>
      <c r="Q51" s="45"/>
      <c r="R51" s="45"/>
      <c r="S51" s="45"/>
      <c r="T51" s="45"/>
      <c r="U51" s="46"/>
      <c r="X51" s="669" t="s">
        <v>28</v>
      </c>
      <c r="Y51" s="45"/>
      <c r="Z51" s="45"/>
      <c r="AA51" s="45"/>
      <c r="AB51" s="45"/>
      <c r="AC51" s="45"/>
      <c r="AD51" s="45"/>
      <c r="AE51" s="45"/>
      <c r="AF51" s="45"/>
      <c r="AG51" s="45"/>
      <c r="AH51" s="46"/>
    </row>
    <row r="52" spans="1:35" x14ac:dyDescent="0.25">
      <c r="A52" s="8" t="s">
        <v>29</v>
      </c>
      <c r="B52" s="4">
        <v>287</v>
      </c>
      <c r="C52" s="6">
        <v>10887.050000000001</v>
      </c>
      <c r="D52" s="6"/>
      <c r="E52" s="6"/>
      <c r="F52" s="6"/>
      <c r="G52" s="6"/>
      <c r="H52" s="6"/>
      <c r="I52" s="6">
        <v>111834.90000000001</v>
      </c>
      <c r="J52" s="6">
        <v>191110.40000000002</v>
      </c>
      <c r="K52" s="53">
        <v>314119.35000000003</v>
      </c>
      <c r="O52" s="8" t="s">
        <v>29</v>
      </c>
      <c r="P52" s="4">
        <v>287</v>
      </c>
      <c r="Q52" s="6">
        <v>10887.050000000001</v>
      </c>
      <c r="R52" s="6"/>
      <c r="S52" s="6"/>
      <c r="T52" s="6">
        <v>111834.90000000001</v>
      </c>
      <c r="U52" s="53">
        <v>314119.35000000003</v>
      </c>
      <c r="X52" s="8" t="s">
        <v>29</v>
      </c>
      <c r="Y52" s="4">
        <v>287</v>
      </c>
      <c r="Z52" s="6">
        <v>10887.050000000001</v>
      </c>
      <c r="AA52" s="6"/>
      <c r="AB52" s="6"/>
      <c r="AC52" s="6"/>
      <c r="AD52" s="6"/>
      <c r="AE52" s="6"/>
      <c r="AF52" s="6">
        <v>111834.90000000001</v>
      </c>
      <c r="AG52" s="6">
        <v>191110.40000000002</v>
      </c>
      <c r="AH52" s="53">
        <v>314119.35000000003</v>
      </c>
    </row>
    <row r="53" spans="1:35" x14ac:dyDescent="0.25">
      <c r="A53" s="9" t="s">
        <v>30</v>
      </c>
      <c r="C53" s="7">
        <v>602.70000000000005</v>
      </c>
      <c r="D53" s="7"/>
      <c r="E53" s="7">
        <v>1246.3500000000001</v>
      </c>
      <c r="F53" s="7">
        <v>27119.599999999999</v>
      </c>
      <c r="G53" s="7">
        <v>4290.1000000000004</v>
      </c>
      <c r="H53" s="7">
        <v>4427.8</v>
      </c>
      <c r="I53" s="7">
        <v>108.69999999999999</v>
      </c>
      <c r="J53" s="7">
        <v>13.5</v>
      </c>
      <c r="K53" s="47">
        <v>37808.749999999993</v>
      </c>
      <c r="O53" s="9" t="s">
        <v>30</v>
      </c>
      <c r="Q53" s="7">
        <v>602.70000000000005</v>
      </c>
      <c r="R53" s="7"/>
      <c r="S53" s="7">
        <v>1246.3500000000001</v>
      </c>
      <c r="T53" s="7">
        <v>108.69999999999999</v>
      </c>
      <c r="U53" s="47">
        <v>37808.749999999993</v>
      </c>
      <c r="X53" s="9" t="s">
        <v>30</v>
      </c>
      <c r="Z53" s="7">
        <v>602.70000000000005</v>
      </c>
      <c r="AA53" s="7"/>
      <c r="AB53" s="7">
        <v>1246.3500000000001</v>
      </c>
      <c r="AC53" s="7">
        <v>27119.599999999999</v>
      </c>
      <c r="AD53" s="7">
        <v>4290.1000000000004</v>
      </c>
      <c r="AE53" s="7">
        <v>4427.8</v>
      </c>
      <c r="AF53" s="7">
        <v>108.69999999999999</v>
      </c>
      <c r="AG53" s="7">
        <v>13.5</v>
      </c>
      <c r="AH53" s="47">
        <v>37808.749999999993</v>
      </c>
    </row>
    <row r="54" spans="1:35" x14ac:dyDescent="0.25">
      <c r="A54" s="8" t="s">
        <v>31</v>
      </c>
      <c r="B54" s="4"/>
      <c r="C54" s="6"/>
      <c r="D54" s="6"/>
      <c r="E54" s="6">
        <v>4.0999999999999996</v>
      </c>
      <c r="F54" s="6">
        <v>271.37</v>
      </c>
      <c r="G54" s="6">
        <v>129.76</v>
      </c>
      <c r="H54" s="6"/>
      <c r="I54" s="6">
        <v>69</v>
      </c>
      <c r="J54" s="6">
        <v>227.98000000000002</v>
      </c>
      <c r="K54" s="53">
        <v>702.21</v>
      </c>
      <c r="O54" s="8" t="s">
        <v>31</v>
      </c>
      <c r="P54" s="4"/>
      <c r="Q54" s="6"/>
      <c r="R54" s="6"/>
      <c r="S54" s="6">
        <v>4.0999999999999996</v>
      </c>
      <c r="T54" s="6">
        <v>69</v>
      </c>
      <c r="U54" s="53">
        <v>702.21</v>
      </c>
      <c r="X54" s="8" t="s">
        <v>31</v>
      </c>
      <c r="Y54" s="4"/>
      <c r="Z54" s="6"/>
      <c r="AA54" s="6"/>
      <c r="AB54" s="6">
        <v>4.0999999999999996</v>
      </c>
      <c r="AC54" s="6">
        <v>271.37</v>
      </c>
      <c r="AD54" s="6">
        <v>129.76</v>
      </c>
      <c r="AE54" s="6"/>
      <c r="AF54" s="6">
        <v>69</v>
      </c>
      <c r="AG54" s="6">
        <v>227.98000000000002</v>
      </c>
      <c r="AH54" s="53">
        <v>702.21</v>
      </c>
    </row>
    <row r="55" spans="1:35" x14ac:dyDescent="0.25">
      <c r="A55" s="9" t="s">
        <v>32</v>
      </c>
      <c r="B55">
        <v>19.649999999999999</v>
      </c>
      <c r="C55" s="7">
        <v>52754.05000000001</v>
      </c>
      <c r="D55" s="7"/>
      <c r="E55" s="7">
        <v>19026.5</v>
      </c>
      <c r="F55" s="7">
        <v>270412.50999999995</v>
      </c>
      <c r="G55" s="7">
        <v>61381.830000000024</v>
      </c>
      <c r="H55" s="7">
        <v>51415.040000000015</v>
      </c>
      <c r="I55" s="7">
        <v>8795.5999999999985</v>
      </c>
      <c r="J55" s="7">
        <v>10878.170000000002</v>
      </c>
      <c r="K55" s="47">
        <v>474683.34999999992</v>
      </c>
      <c r="O55" s="9" t="s">
        <v>32</v>
      </c>
      <c r="P55">
        <v>19.649999999999999</v>
      </c>
      <c r="Q55" s="7">
        <v>52754.05000000001</v>
      </c>
      <c r="R55" s="7"/>
      <c r="S55" s="7">
        <v>19026.5</v>
      </c>
      <c r="T55" s="7">
        <v>8795.5999999999985</v>
      </c>
      <c r="U55" s="47">
        <v>474683.34999999992</v>
      </c>
      <c r="X55" s="9" t="s">
        <v>32</v>
      </c>
      <c r="Y55">
        <v>19.649999999999999</v>
      </c>
      <c r="Z55" s="7">
        <v>52754.05000000001</v>
      </c>
      <c r="AA55" s="7"/>
      <c r="AB55" s="7">
        <v>19026.5</v>
      </c>
      <c r="AC55" s="7">
        <v>270412.50999999995</v>
      </c>
      <c r="AD55" s="7">
        <v>61381.830000000024</v>
      </c>
      <c r="AE55" s="7">
        <v>51415.040000000015</v>
      </c>
      <c r="AF55" s="7">
        <v>8795.5999999999985</v>
      </c>
      <c r="AG55" s="7">
        <v>10878.170000000002</v>
      </c>
      <c r="AH55" s="47">
        <v>474683.34999999992</v>
      </c>
    </row>
    <row r="56" spans="1:35" x14ac:dyDescent="0.25">
      <c r="A56" s="8" t="s">
        <v>33</v>
      </c>
      <c r="B56" s="4"/>
      <c r="C56" s="6"/>
      <c r="D56" s="6"/>
      <c r="E56" s="6"/>
      <c r="F56" s="6"/>
      <c r="G56" s="6"/>
      <c r="H56" s="6"/>
      <c r="I56" s="6"/>
      <c r="J56" s="6">
        <v>-5.29</v>
      </c>
      <c r="K56" s="53">
        <v>-5.29</v>
      </c>
      <c r="O56" s="8" t="s">
        <v>33</v>
      </c>
      <c r="P56" s="4"/>
      <c r="Q56" s="6"/>
      <c r="R56" s="6"/>
      <c r="S56" s="6"/>
      <c r="T56" s="6"/>
      <c r="U56" s="53">
        <v>-5.29</v>
      </c>
      <c r="X56" s="8" t="s">
        <v>33</v>
      </c>
      <c r="Y56" s="4"/>
      <c r="Z56" s="6"/>
      <c r="AA56" s="6"/>
      <c r="AB56" s="6"/>
      <c r="AC56" s="6"/>
      <c r="AD56" s="6"/>
      <c r="AE56" s="6"/>
      <c r="AF56" s="6"/>
      <c r="AG56" s="6">
        <v>-5.29</v>
      </c>
      <c r="AH56" s="53">
        <v>-5.29</v>
      </c>
    </row>
    <row r="57" spans="1:35" x14ac:dyDescent="0.25">
      <c r="A57" s="9" t="s">
        <v>34</v>
      </c>
      <c r="C57" s="7">
        <v>5908.7800000000007</v>
      </c>
      <c r="D57" s="7"/>
      <c r="E57" s="7">
        <v>2442.0299999999997</v>
      </c>
      <c r="F57" s="7">
        <v>17459.010000000002</v>
      </c>
      <c r="G57" s="7">
        <v>8972.1200000000008</v>
      </c>
      <c r="H57" s="7">
        <v>517.14</v>
      </c>
      <c r="I57" s="7">
        <v>31648.969999999987</v>
      </c>
      <c r="J57" s="7">
        <v>21297.720000000005</v>
      </c>
      <c r="K57" s="47">
        <v>88245.76999999999</v>
      </c>
      <c r="O57" s="9" t="s">
        <v>34</v>
      </c>
      <c r="Q57" s="7">
        <v>5908.7800000000007</v>
      </c>
      <c r="R57" s="7"/>
      <c r="S57" s="7">
        <v>2442.0299999999997</v>
      </c>
      <c r="T57" s="7">
        <v>31648.969999999987</v>
      </c>
      <c r="U57" s="47">
        <v>88245.76999999999</v>
      </c>
      <c r="X57" s="9" t="s">
        <v>34</v>
      </c>
      <c r="Z57" s="7">
        <v>5908.7800000000007</v>
      </c>
      <c r="AA57" s="7"/>
      <c r="AB57" s="7">
        <v>2442.0299999999997</v>
      </c>
      <c r="AC57" s="7">
        <v>17459.010000000002</v>
      </c>
      <c r="AD57" s="7">
        <v>8972.1200000000008</v>
      </c>
      <c r="AE57" s="7">
        <v>517.14</v>
      </c>
      <c r="AF57" s="7">
        <v>31648.969999999987</v>
      </c>
      <c r="AG57" s="7">
        <v>21297.720000000005</v>
      </c>
      <c r="AH57" s="47">
        <v>88245.76999999999</v>
      </c>
    </row>
    <row r="58" spans="1:35" x14ac:dyDescent="0.25">
      <c r="A58" s="8" t="s">
        <v>35</v>
      </c>
      <c r="B58" s="4">
        <v>10.7</v>
      </c>
      <c r="C58" s="6">
        <v>50548.289999999994</v>
      </c>
      <c r="D58" s="6"/>
      <c r="E58" s="6">
        <v>18589.710000000003</v>
      </c>
      <c r="F58" s="6">
        <v>192902.92</v>
      </c>
      <c r="G58" s="6">
        <v>67901.759999999995</v>
      </c>
      <c r="H58" s="6">
        <v>38175.109999999993</v>
      </c>
      <c r="I58" s="6">
        <v>7572.0400000000009</v>
      </c>
      <c r="J58" s="6">
        <v>9478.85</v>
      </c>
      <c r="K58" s="53">
        <v>385179.38</v>
      </c>
      <c r="O58" s="8" t="s">
        <v>35</v>
      </c>
      <c r="P58" s="4">
        <v>10.7</v>
      </c>
      <c r="Q58" s="6">
        <v>50548.289999999994</v>
      </c>
      <c r="R58" s="6"/>
      <c r="S58" s="6">
        <v>18589.710000000003</v>
      </c>
      <c r="T58" s="6">
        <v>7572.0400000000009</v>
      </c>
      <c r="U58" s="53">
        <v>385179.38</v>
      </c>
      <c r="X58" s="8" t="s">
        <v>35</v>
      </c>
      <c r="Y58" s="4">
        <v>10.7</v>
      </c>
      <c r="Z58" s="6">
        <v>50548.289999999994</v>
      </c>
      <c r="AA58" s="6"/>
      <c r="AB58" s="6">
        <v>18589.710000000003</v>
      </c>
      <c r="AC58" s="6">
        <v>192902.92</v>
      </c>
      <c r="AD58" s="6">
        <v>67901.759999999995</v>
      </c>
      <c r="AE58" s="6">
        <v>38175.109999999993</v>
      </c>
      <c r="AF58" s="6">
        <v>7572.0400000000009</v>
      </c>
      <c r="AG58" s="6">
        <v>9478.85</v>
      </c>
      <c r="AH58" s="53">
        <v>385179.38</v>
      </c>
    </row>
    <row r="59" spans="1:35" x14ac:dyDescent="0.25">
      <c r="A59" s="48"/>
      <c r="K59" s="1"/>
      <c r="O59" s="48"/>
      <c r="U59" s="1"/>
      <c r="X59" s="48"/>
      <c r="AH59" s="1"/>
    </row>
    <row r="60" spans="1:35" s="2" customFormat="1" x14ac:dyDescent="0.25">
      <c r="A60" s="49" t="s">
        <v>10</v>
      </c>
      <c r="B60" s="50"/>
      <c r="C60" s="51">
        <f>SUM(C52:C58)</f>
        <v>120700.87000000001</v>
      </c>
      <c r="D60" s="51">
        <f t="shared" ref="D60:K60" si="302">SUM(D52:D58)</f>
        <v>0</v>
      </c>
      <c r="E60" s="51">
        <f t="shared" si="302"/>
        <v>41308.69</v>
      </c>
      <c r="F60" s="51">
        <f t="shared" si="302"/>
        <v>508165.40999999992</v>
      </c>
      <c r="G60" s="51">
        <f t="shared" si="302"/>
        <v>142675.57</v>
      </c>
      <c r="H60" s="51">
        <f t="shared" si="302"/>
        <v>94535.090000000011</v>
      </c>
      <c r="I60" s="51">
        <f t="shared" si="302"/>
        <v>160029.21</v>
      </c>
      <c r="J60" s="51">
        <f t="shared" si="302"/>
        <v>233001.33000000005</v>
      </c>
      <c r="K60" s="52">
        <f t="shared" si="302"/>
        <v>1300733.52</v>
      </c>
      <c r="L60" s="280"/>
      <c r="M60" s="280"/>
      <c r="N60" s="280"/>
      <c r="O60" s="49" t="s">
        <v>10</v>
      </c>
      <c r="P60" s="50"/>
      <c r="Q60" s="51">
        <f>SUM(Q52:Q58)</f>
        <v>120700.87000000001</v>
      </c>
      <c r="R60" s="51">
        <f t="shared" ref="R60:U60" si="303">SUM(R52:R58)</f>
        <v>0</v>
      </c>
      <c r="S60" s="51">
        <f t="shared" si="303"/>
        <v>41308.69</v>
      </c>
      <c r="T60" s="51">
        <f t="shared" si="303"/>
        <v>160029.21</v>
      </c>
      <c r="U60" s="52">
        <f t="shared" si="303"/>
        <v>1300733.52</v>
      </c>
      <c r="V60" s="280"/>
      <c r="W60" s="280"/>
      <c r="X60" s="49" t="s">
        <v>10</v>
      </c>
      <c r="Y60" s="50"/>
      <c r="Z60" s="51">
        <f>SUM(Z52:Z58)</f>
        <v>120700.87000000001</v>
      </c>
      <c r="AA60" s="51">
        <f t="shared" ref="AA60:AH60" si="304">SUM(AA52:AA58)</f>
        <v>0</v>
      </c>
      <c r="AB60" s="51">
        <f t="shared" si="304"/>
        <v>41308.69</v>
      </c>
      <c r="AC60" s="51">
        <f t="shared" si="304"/>
        <v>508165.40999999992</v>
      </c>
      <c r="AD60" s="51">
        <f t="shared" si="304"/>
        <v>142675.57</v>
      </c>
      <c r="AE60" s="51">
        <f t="shared" si="304"/>
        <v>94535.090000000011</v>
      </c>
      <c r="AF60" s="51">
        <f t="shared" si="304"/>
        <v>160029.21</v>
      </c>
      <c r="AG60" s="51">
        <f t="shared" si="304"/>
        <v>233001.33000000005</v>
      </c>
      <c r="AH60" s="52">
        <f t="shared" si="304"/>
        <v>1300733.52</v>
      </c>
      <c r="AI60" s="280"/>
    </row>
    <row r="62" spans="1:35" x14ac:dyDescent="0.25">
      <c r="W62" s="319"/>
    </row>
    <row r="63" spans="1:35" x14ac:dyDescent="0.25">
      <c r="A63" s="718" t="s">
        <v>82</v>
      </c>
      <c r="B63" s="718"/>
      <c r="C63" s="718"/>
      <c r="D63" s="718"/>
      <c r="E63" s="718"/>
      <c r="F63" s="718"/>
      <c r="G63" s="718"/>
      <c r="H63" s="718"/>
      <c r="I63" s="718"/>
      <c r="J63" s="718"/>
      <c r="K63" s="718"/>
      <c r="L63" s="718"/>
      <c r="N63" s="319"/>
      <c r="O63" s="718" t="s">
        <v>68</v>
      </c>
      <c r="P63" s="718"/>
      <c r="Q63" s="718"/>
      <c r="R63" s="718"/>
      <c r="S63" s="718"/>
      <c r="T63" s="718"/>
      <c r="U63" s="718"/>
      <c r="V63" s="718"/>
      <c r="W63" s="319"/>
    </row>
    <row r="64" spans="1:35" ht="27" x14ac:dyDescent="0.25">
      <c r="A64" s="496" t="s">
        <v>69</v>
      </c>
      <c r="B64" s="497"/>
      <c r="C64" s="498" t="s">
        <v>2</v>
      </c>
      <c r="D64" s="499" t="s">
        <v>3</v>
      </c>
      <c r="E64" s="500" t="s">
        <v>4</v>
      </c>
      <c r="F64" s="501" t="s">
        <v>5</v>
      </c>
      <c r="G64" s="500" t="s">
        <v>6</v>
      </c>
      <c r="H64" s="501" t="s">
        <v>7</v>
      </c>
      <c r="I64" s="500" t="s">
        <v>8</v>
      </c>
      <c r="J64" s="501" t="s">
        <v>44</v>
      </c>
      <c r="K64" s="499" t="s">
        <v>10</v>
      </c>
      <c r="L64" s="502" t="s">
        <v>11</v>
      </c>
      <c r="M64" s="525"/>
      <c r="N64" s="319"/>
      <c r="O64" s="560" t="s">
        <v>69</v>
      </c>
      <c r="P64" s="497"/>
      <c r="Q64" s="498" t="s">
        <v>2</v>
      </c>
      <c r="R64" s="499" t="s">
        <v>70</v>
      </c>
      <c r="S64" s="500" t="s">
        <v>71</v>
      </c>
      <c r="T64" s="500" t="s">
        <v>72</v>
      </c>
      <c r="U64" s="499" t="s">
        <v>10</v>
      </c>
      <c r="V64" s="502" t="s">
        <v>11</v>
      </c>
      <c r="W64" s="319"/>
      <c r="X64" s="496" t="s">
        <v>73</v>
      </c>
      <c r="Y64" s="497"/>
      <c r="Z64" s="498" t="s">
        <v>2</v>
      </c>
      <c r="AA64" s="499" t="s">
        <v>3</v>
      </c>
      <c r="AB64" s="500" t="s">
        <v>4</v>
      </c>
      <c r="AC64" s="501" t="s">
        <v>5</v>
      </c>
      <c r="AD64" s="500" t="s">
        <v>6</v>
      </c>
      <c r="AE64" s="501" t="s">
        <v>7</v>
      </c>
      <c r="AF64" s="500" t="s">
        <v>8</v>
      </c>
      <c r="AG64" s="501" t="s">
        <v>44</v>
      </c>
      <c r="AH64" s="499" t="s">
        <v>10</v>
      </c>
      <c r="AI64" s="502" t="s">
        <v>11</v>
      </c>
    </row>
    <row r="65" spans="1:35" x14ac:dyDescent="0.25">
      <c r="A65" s="542" t="s">
        <v>12</v>
      </c>
      <c r="B65" s="543" t="s">
        <v>13</v>
      </c>
      <c r="C65" s="521"/>
      <c r="D65" s="528"/>
      <c r="E65" s="529"/>
      <c r="F65" s="528"/>
      <c r="G65" s="529"/>
      <c r="H65" s="528"/>
      <c r="I65" s="529"/>
      <c r="J65" s="528"/>
      <c r="K65" s="528"/>
      <c r="L65" s="522" t="s">
        <v>14</v>
      </c>
      <c r="M65" s="525"/>
      <c r="N65" s="319"/>
      <c r="O65" s="561" t="s">
        <v>12</v>
      </c>
      <c r="P65" s="543"/>
      <c r="Q65" s="521"/>
      <c r="R65" s="528"/>
      <c r="S65" s="529"/>
      <c r="T65" s="529"/>
      <c r="U65" s="528"/>
      <c r="V65" s="522" t="s">
        <v>14</v>
      </c>
      <c r="W65" s="319"/>
      <c r="X65" s="542" t="s">
        <v>12</v>
      </c>
      <c r="Y65" s="543" t="s">
        <v>13</v>
      </c>
      <c r="Z65" s="521"/>
      <c r="AA65" s="528"/>
      <c r="AB65" s="529"/>
      <c r="AC65" s="528"/>
      <c r="AD65" s="529"/>
      <c r="AE65" s="528"/>
      <c r="AF65" s="529"/>
      <c r="AG65" s="528"/>
      <c r="AH65" s="528"/>
      <c r="AI65" s="522" t="s">
        <v>14</v>
      </c>
    </row>
    <row r="67" spans="1:35" x14ac:dyDescent="0.25">
      <c r="A67" s="544" t="s">
        <v>81</v>
      </c>
      <c r="B67" s="545">
        <v>804.56999999999994</v>
      </c>
      <c r="C67" s="546">
        <f>'TTV By Card'!C46</f>
        <v>1302400.9993999999</v>
      </c>
      <c r="D67" s="546">
        <f>'TTV By Card'!D46</f>
        <v>11196557.2828</v>
      </c>
      <c r="E67" s="546">
        <f>'TTV By Card'!E46</f>
        <v>1442187.4941</v>
      </c>
      <c r="F67" s="546">
        <f>'TTV By Card'!F46</f>
        <v>7817815.4231000002</v>
      </c>
      <c r="G67" s="546">
        <f>'TTV By Card'!G46</f>
        <v>8636077.8311000001</v>
      </c>
      <c r="H67" s="546">
        <f>'TTV By Card'!H46</f>
        <v>2175214.2345999996</v>
      </c>
      <c r="I67" s="546">
        <f>'TTV By Card'!I46</f>
        <v>828490.68809999991</v>
      </c>
      <c r="J67" s="546">
        <f>'TTV By Card'!J46</f>
        <v>695523.04680000001</v>
      </c>
      <c r="K67" s="546">
        <f>SUM(B67:J67)</f>
        <v>34095071.57</v>
      </c>
      <c r="L67" s="547">
        <f>K67/$K$44</f>
        <v>0.23414509719754514</v>
      </c>
      <c r="M67" s="71">
        <f>SUM(C67:J67)</f>
        <v>34094267</v>
      </c>
      <c r="O67" s="530" t="s">
        <v>10</v>
      </c>
      <c r="P67" s="552">
        <v>461.55999999999995</v>
      </c>
      <c r="Q67" s="553">
        <f t="shared" ref="Q67:Q70" si="305">C67</f>
        <v>1302400.9993999999</v>
      </c>
      <c r="R67" s="554">
        <f t="shared" ref="R67:R70" si="306">D67+F67+H67</f>
        <v>21189586.940499999</v>
      </c>
      <c r="S67" s="553">
        <f t="shared" ref="S67:S70" si="307">E67+G67</f>
        <v>10078265.325200001</v>
      </c>
      <c r="T67" s="553">
        <f t="shared" ref="T67:T70" si="308">I67+J67</f>
        <v>1524013.7349</v>
      </c>
      <c r="U67" s="546">
        <f>SUM(P67:T67)</f>
        <v>34094728.559999995</v>
      </c>
      <c r="V67" s="547">
        <f>U67/$K$44</f>
        <v>0.23414274160460774</v>
      </c>
      <c r="W67" s="71">
        <f>SUM(Q67:T67)</f>
        <v>34094267</v>
      </c>
      <c r="X67" s="544" t="s">
        <v>10</v>
      </c>
      <c r="Y67" s="545">
        <v>804.56999999999994</v>
      </c>
      <c r="Z67" s="553">
        <f>C67</f>
        <v>1302400.9993999999</v>
      </c>
      <c r="AA67" s="553">
        <f t="shared" ref="AA67" si="309">D67</f>
        <v>11196557.2828</v>
      </c>
      <c r="AB67" s="553">
        <f t="shared" ref="AB67" si="310">E67</f>
        <v>1442187.4941</v>
      </c>
      <c r="AC67" s="553">
        <f t="shared" ref="AC67" si="311">F67</f>
        <v>7817815.4231000002</v>
      </c>
      <c r="AD67" s="553">
        <f t="shared" ref="AD67" si="312">G67</f>
        <v>8636077.8311000001</v>
      </c>
      <c r="AE67" s="553">
        <f t="shared" ref="AE67" si="313">H67</f>
        <v>2175214.2345999996</v>
      </c>
      <c r="AF67" s="553">
        <f t="shared" ref="AF67" si="314">I67</f>
        <v>828490.68809999991</v>
      </c>
      <c r="AG67" s="553">
        <f t="shared" ref="AG67" si="315">J67</f>
        <v>695523.04680000001</v>
      </c>
      <c r="AH67" s="553">
        <f t="shared" ref="AH67" si="316">K67</f>
        <v>34095071.57</v>
      </c>
      <c r="AI67" s="547">
        <f>AH67/$K$44</f>
        <v>0.23414509719754514</v>
      </c>
    </row>
    <row r="68" spans="1:35" x14ac:dyDescent="0.25">
      <c r="A68" s="513" t="s">
        <v>43</v>
      </c>
      <c r="B68" s="514"/>
      <c r="C68" s="548">
        <f>'MSF By Card'!C47</f>
        <v>19052.145818181816</v>
      </c>
      <c r="D68" s="548">
        <f>'MSF By Card'!D47</f>
        <v>163788.60436363638</v>
      </c>
      <c r="E68" s="548">
        <f>'MSF By Card'!E47</f>
        <v>21097.009636363633</v>
      </c>
      <c r="F68" s="548">
        <f>'MSF By Card'!F47</f>
        <v>114362.74963636363</v>
      </c>
      <c r="G68" s="548">
        <f>'MSF By Card'!G47</f>
        <v>126332.68418181819</v>
      </c>
      <c r="H68" s="548">
        <f>'MSF By Card'!H47</f>
        <v>31820.075999999997</v>
      </c>
      <c r="I68" s="548">
        <f>'MSF By Card'!I47</f>
        <v>12119.558727272726</v>
      </c>
      <c r="J68" s="548">
        <f>'MSF By Card'!J47</f>
        <v>10174.444363636363</v>
      </c>
      <c r="K68" s="549">
        <f>SUM(C68:J68)</f>
        <v>498747.27272727271</v>
      </c>
      <c r="L68" s="550"/>
      <c r="O68" s="513" t="s">
        <v>43</v>
      </c>
      <c r="P68" s="514"/>
      <c r="Q68" s="548">
        <f t="shared" si="305"/>
        <v>19052.145818181816</v>
      </c>
      <c r="R68" s="548">
        <f t="shared" si="306"/>
        <v>309971.43</v>
      </c>
      <c r="S68" s="548">
        <f t="shared" si="307"/>
        <v>147429.69381818181</v>
      </c>
      <c r="T68" s="548">
        <f t="shared" si="308"/>
        <v>22294.003090909089</v>
      </c>
      <c r="U68" s="549">
        <f>SUM(Q68:T68)</f>
        <v>498747.27272727271</v>
      </c>
      <c r="V68" s="555"/>
      <c r="X68" s="513" t="s">
        <v>75</v>
      </c>
      <c r="Y68" s="514"/>
      <c r="Z68" s="558">
        <f>C68/C67</f>
        <v>1.4628479114311879E-2</v>
      </c>
      <c r="AA68" s="558">
        <f t="shared" ref="AA68" si="317">D68/D67</f>
        <v>1.4628479114311879E-2</v>
      </c>
      <c r="AB68" s="558">
        <f t="shared" ref="AB68" si="318">E68/E67</f>
        <v>1.4628479114311877E-2</v>
      </c>
      <c r="AC68" s="558">
        <f t="shared" ref="AC68" si="319">F68/F67</f>
        <v>1.4628479114311877E-2</v>
      </c>
      <c r="AD68" s="558">
        <f t="shared" ref="AD68" si="320">G68/G67</f>
        <v>1.4628479114311879E-2</v>
      </c>
      <c r="AE68" s="558">
        <f t="shared" ref="AE68" si="321">H68/H67</f>
        <v>1.4628479114311881E-2</v>
      </c>
      <c r="AF68" s="558">
        <f t="shared" ref="AF68" si="322">I68/I67</f>
        <v>1.4628479114311879E-2</v>
      </c>
      <c r="AG68" s="558">
        <f t="shared" ref="AG68" si="323">J68/J67</f>
        <v>1.4628479114311877E-2</v>
      </c>
      <c r="AH68" s="558">
        <f t="shared" ref="AH68" si="324">K68/K67</f>
        <v>1.4628133913821045E-2</v>
      </c>
      <c r="AI68" s="550"/>
    </row>
    <row r="69" spans="1:35" x14ac:dyDescent="0.25">
      <c r="A69" s="513" t="s">
        <v>76</v>
      </c>
      <c r="B69" s="514"/>
      <c r="C69" s="548">
        <f>'COA by Card'!C57</f>
        <v>29900.597935259393</v>
      </c>
      <c r="D69" s="548">
        <f>'COA by Card'!D57</f>
        <v>30161.970693077132</v>
      </c>
      <c r="E69" s="548">
        <f>'COA by Card'!E57</f>
        <v>7980.120898263317</v>
      </c>
      <c r="F69" s="548">
        <f>'COA by Card'!F57</f>
        <v>48890.798119986903</v>
      </c>
      <c r="G69" s="548">
        <f>'COA by Card'!G57</f>
        <v>84821.155696464004</v>
      </c>
      <c r="H69" s="548">
        <f>'COA by Card'!H57</f>
        <v>10724.504053960514</v>
      </c>
      <c r="I69" s="548">
        <f>'COA by Card'!I57</f>
        <v>24029.665089766149</v>
      </c>
      <c r="J69" s="548">
        <f>'COA by Card'!J57</f>
        <v>22576.187513222605</v>
      </c>
      <c r="K69" s="549">
        <f>SUM(C69:J69)</f>
        <v>259085</v>
      </c>
      <c r="L69" s="550"/>
      <c r="O69" s="513" t="s">
        <v>76</v>
      </c>
      <c r="P69" s="514"/>
      <c r="Q69" s="548">
        <f t="shared" si="305"/>
        <v>29900.597935259393</v>
      </c>
      <c r="R69" s="548">
        <f t="shared" si="306"/>
        <v>89777.272867024541</v>
      </c>
      <c r="S69" s="548">
        <f t="shared" si="307"/>
        <v>92801.276594727315</v>
      </c>
      <c r="T69" s="548">
        <f t="shared" si="308"/>
        <v>46605.852602988758</v>
      </c>
      <c r="U69" s="549">
        <f>SUM(Q69:T69)</f>
        <v>259085</v>
      </c>
      <c r="V69" s="555"/>
      <c r="X69" s="513" t="s">
        <v>76</v>
      </c>
      <c r="Y69" s="514"/>
      <c r="Z69" s="558">
        <f>C69/C67</f>
        <v>2.2958058193316984E-2</v>
      </c>
      <c r="AA69" s="558">
        <f t="shared" ref="AA69" si="325">D69/D67</f>
        <v>2.6938611513569037E-3</v>
      </c>
      <c r="AB69" s="558">
        <f t="shared" ref="AB69" si="326">E69/E67</f>
        <v>5.5333449575107625E-3</v>
      </c>
      <c r="AC69" s="558">
        <f t="shared" ref="AC69" si="327">F69/F67</f>
        <v>6.2537672577335198E-3</v>
      </c>
      <c r="AD69" s="558">
        <f t="shared" ref="AD69" si="328">G69/G67</f>
        <v>9.8217220079940045E-3</v>
      </c>
      <c r="AE69" s="558">
        <f t="shared" ref="AE69" si="329">H69/H67</f>
        <v>4.9303208315628943E-3</v>
      </c>
      <c r="AF69" s="558">
        <f t="shared" ref="AF69" si="330">I69/I67</f>
        <v>2.9004146256458269E-2</v>
      </c>
      <c r="AG69" s="558">
        <f t="shared" ref="AG69" si="331">J69/J67</f>
        <v>3.2459294651834107E-2</v>
      </c>
      <c r="AH69" s="558">
        <f>K69/K67</f>
        <v>7.5988988457782554E-3</v>
      </c>
      <c r="AI69" s="550"/>
    </row>
    <row r="70" spans="1:35" x14ac:dyDescent="0.25">
      <c r="A70" s="692" t="s">
        <v>77</v>
      </c>
      <c r="B70" s="534"/>
      <c r="C70" s="693">
        <f>'GP by Card Type'!C47</f>
        <v>-10848.452117077577</v>
      </c>
      <c r="D70" s="693">
        <f>'GP by Card Type'!D47</f>
        <v>133626.63367055924</v>
      </c>
      <c r="E70" s="693">
        <f>'GP by Card Type'!E47</f>
        <v>13116.888738100315</v>
      </c>
      <c r="F70" s="693">
        <f>'GP by Card Type'!F47</f>
        <v>65471.951516376728</v>
      </c>
      <c r="G70" s="693">
        <f>'GP by Card Type'!G47</f>
        <v>41511.528485354182</v>
      </c>
      <c r="H70" s="693">
        <f>'GP by Card Type'!H47</f>
        <v>21095.571946039483</v>
      </c>
      <c r="I70" s="693">
        <f>'GP by Card Type'!I47</f>
        <v>-11910.106362493423</v>
      </c>
      <c r="J70" s="693">
        <f>'GP by Card Type'!J47</f>
        <v>-12401.743149586242</v>
      </c>
      <c r="K70" s="551">
        <f>SUM(C70:J70)</f>
        <v>239662.27272727271</v>
      </c>
      <c r="L70" s="517"/>
      <c r="O70" s="692" t="s">
        <v>77</v>
      </c>
      <c r="P70" s="556"/>
      <c r="Q70" s="557">
        <f t="shared" si="305"/>
        <v>-10848.452117077577</v>
      </c>
      <c r="R70" s="557">
        <f t="shared" si="306"/>
        <v>220194.15713297544</v>
      </c>
      <c r="S70" s="557">
        <f t="shared" si="307"/>
        <v>54628.417223454497</v>
      </c>
      <c r="T70" s="557">
        <f t="shared" si="308"/>
        <v>-24311.849512079665</v>
      </c>
      <c r="U70" s="551">
        <f>SUM(Q70:T70)</f>
        <v>239662.27272727271</v>
      </c>
      <c r="V70" s="694"/>
      <c r="X70" s="692" t="s">
        <v>78</v>
      </c>
      <c r="Y70" s="534"/>
      <c r="Z70" s="559">
        <f>C70/C67</f>
        <v>-8.329579079005103E-3</v>
      </c>
      <c r="AA70" s="559">
        <f t="shared" ref="AA70" si="332">D70/D67</f>
        <v>1.1934617962954976E-2</v>
      </c>
      <c r="AB70" s="559">
        <f t="shared" ref="AB70" si="333">E70/E67</f>
        <v>9.0951341568011133E-3</v>
      </c>
      <c r="AC70" s="559">
        <f t="shared" ref="AC70" si="334">F70/F67</f>
        <v>8.3747118565783586E-3</v>
      </c>
      <c r="AD70" s="559">
        <f t="shared" ref="AD70" si="335">G70/G67</f>
        <v>4.8067571063178747E-3</v>
      </c>
      <c r="AE70" s="559">
        <f t="shared" ref="AE70" si="336">H70/H67</f>
        <v>9.6981582827489858E-3</v>
      </c>
      <c r="AF70" s="559">
        <f t="shared" ref="AF70" si="337">I70/I67</f>
        <v>-1.4375667142146392E-2</v>
      </c>
      <c r="AG70" s="559">
        <f t="shared" ref="AG70" si="338">J70/J67</f>
        <v>-1.7830815537522231E-2</v>
      </c>
      <c r="AH70" s="559">
        <f t="shared" ref="AH70" si="339">K70/K67</f>
        <v>7.0292350680427884E-3</v>
      </c>
      <c r="AI70" s="517"/>
    </row>
    <row r="73" spans="1:35" x14ac:dyDescent="0.25">
      <c r="A73" s="718" t="s">
        <v>82</v>
      </c>
      <c r="B73" s="718"/>
      <c r="C73" s="718"/>
      <c r="D73" s="718"/>
      <c r="E73" s="718"/>
      <c r="F73" s="718"/>
      <c r="G73" s="718"/>
      <c r="H73" s="718"/>
      <c r="I73" s="718"/>
      <c r="J73" s="718"/>
      <c r="K73" s="718"/>
      <c r="L73" s="718"/>
      <c r="N73" s="319"/>
      <c r="O73" s="718" t="s">
        <v>68</v>
      </c>
      <c r="P73" s="718"/>
      <c r="Q73" s="718"/>
      <c r="R73" s="718"/>
      <c r="S73" s="718"/>
      <c r="T73" s="718"/>
      <c r="U73" s="718"/>
      <c r="V73" s="718"/>
      <c r="W73" s="319"/>
    </row>
    <row r="74" spans="1:35" ht="27" x14ac:dyDescent="0.25">
      <c r="A74" s="562" t="s">
        <v>69</v>
      </c>
      <c r="B74" s="563"/>
      <c r="C74" s="564" t="s">
        <v>2</v>
      </c>
      <c r="D74" s="565" t="s">
        <v>3</v>
      </c>
      <c r="E74" s="566" t="s">
        <v>4</v>
      </c>
      <c r="F74" s="567" t="s">
        <v>5</v>
      </c>
      <c r="G74" s="566" t="s">
        <v>6</v>
      </c>
      <c r="H74" s="567" t="s">
        <v>7</v>
      </c>
      <c r="I74" s="566" t="s">
        <v>8</v>
      </c>
      <c r="J74" s="567" t="s">
        <v>44</v>
      </c>
      <c r="K74" s="565" t="s">
        <v>10</v>
      </c>
      <c r="L74" s="568" t="s">
        <v>11</v>
      </c>
      <c r="M74" s="525"/>
      <c r="N74" s="319"/>
      <c r="O74" s="618" t="s">
        <v>69</v>
      </c>
      <c r="P74" s="563"/>
      <c r="Q74" s="564" t="s">
        <v>2</v>
      </c>
      <c r="R74" s="565" t="s">
        <v>70</v>
      </c>
      <c r="S74" s="566" t="s">
        <v>71</v>
      </c>
      <c r="T74" s="566" t="s">
        <v>72</v>
      </c>
      <c r="U74" s="565" t="s">
        <v>10</v>
      </c>
      <c r="V74" s="568" t="s">
        <v>11</v>
      </c>
      <c r="W74" s="319"/>
      <c r="X74" s="562" t="s">
        <v>73</v>
      </c>
      <c r="Y74" s="563"/>
      <c r="Z74" s="564" t="s">
        <v>2</v>
      </c>
      <c r="AA74" s="565" t="s">
        <v>3</v>
      </c>
      <c r="AB74" s="566" t="s">
        <v>4</v>
      </c>
      <c r="AC74" s="567" t="s">
        <v>5</v>
      </c>
      <c r="AD74" s="566" t="s">
        <v>6</v>
      </c>
      <c r="AE74" s="567" t="s">
        <v>7</v>
      </c>
      <c r="AF74" s="566" t="s">
        <v>8</v>
      </c>
      <c r="AG74" s="567" t="s">
        <v>44</v>
      </c>
      <c r="AH74" s="565" t="s">
        <v>10</v>
      </c>
      <c r="AI74" s="568" t="s">
        <v>11</v>
      </c>
    </row>
    <row r="75" spans="1:35" x14ac:dyDescent="0.25">
      <c r="A75" s="608" t="s">
        <v>12</v>
      </c>
      <c r="B75" s="609" t="s">
        <v>13</v>
      </c>
      <c r="C75" s="588"/>
      <c r="D75" s="593"/>
      <c r="E75" s="594"/>
      <c r="F75" s="593"/>
      <c r="G75" s="594"/>
      <c r="H75" s="593"/>
      <c r="I75" s="594"/>
      <c r="J75" s="593"/>
      <c r="K75" s="593"/>
      <c r="L75" s="589" t="s">
        <v>14</v>
      </c>
      <c r="M75" s="525"/>
      <c r="N75" s="319"/>
      <c r="O75" s="619" t="s">
        <v>12</v>
      </c>
      <c r="P75" s="609"/>
      <c r="Q75" s="588"/>
      <c r="R75" s="593"/>
      <c r="S75" s="594"/>
      <c r="T75" s="594"/>
      <c r="U75" s="593"/>
      <c r="V75" s="589" t="s">
        <v>14</v>
      </c>
      <c r="W75" s="319"/>
      <c r="X75" s="608" t="s">
        <v>12</v>
      </c>
      <c r="Y75" s="609" t="s">
        <v>13</v>
      </c>
      <c r="Z75" s="588"/>
      <c r="AA75" s="593"/>
      <c r="AB75" s="594"/>
      <c r="AC75" s="593"/>
      <c r="AD75" s="594"/>
      <c r="AE75" s="593"/>
      <c r="AF75" s="594"/>
      <c r="AG75" s="593"/>
      <c r="AH75" s="593"/>
      <c r="AI75" s="589" t="s">
        <v>14</v>
      </c>
    </row>
    <row r="76" spans="1:35" x14ac:dyDescent="0.25">
      <c r="A76" s="575"/>
      <c r="B76" s="575"/>
      <c r="C76" s="575"/>
      <c r="D76" s="575"/>
      <c r="E76" s="575"/>
      <c r="F76" s="575"/>
      <c r="G76" s="575"/>
      <c r="H76" s="575"/>
      <c r="I76" s="575"/>
      <c r="J76" s="575"/>
      <c r="K76" s="575"/>
      <c r="L76" s="575"/>
      <c r="O76" s="575"/>
      <c r="P76" s="575"/>
      <c r="Q76" s="575"/>
      <c r="R76" s="575"/>
      <c r="S76" s="575"/>
      <c r="T76" s="575"/>
      <c r="U76" s="575"/>
      <c r="V76" s="575"/>
      <c r="X76" s="575"/>
      <c r="Y76" s="575"/>
      <c r="Z76" s="575"/>
      <c r="AA76" s="575"/>
      <c r="AB76" s="575"/>
      <c r="AC76" s="575"/>
      <c r="AD76" s="575"/>
      <c r="AE76" s="575"/>
      <c r="AF76" s="575"/>
      <c r="AG76" s="575"/>
      <c r="AH76" s="575"/>
      <c r="AI76" s="575"/>
    </row>
    <row r="77" spans="1:35" x14ac:dyDescent="0.25">
      <c r="A77" s="610" t="s">
        <v>81</v>
      </c>
      <c r="B77" s="611">
        <v>804.56999999999994</v>
      </c>
      <c r="C77" s="612">
        <f>'TTV By Card'!C56</f>
        <v>1.4E-2</v>
      </c>
      <c r="D77" s="612">
        <f>'TTV By Card'!D56</f>
        <v>0.32800000000000001</v>
      </c>
      <c r="E77" s="612">
        <f>'TTV By Card'!E56</f>
        <v>0.18</v>
      </c>
      <c r="F77" s="612">
        <f>'TTV By Card'!F56</f>
        <v>0.17799999999999999</v>
      </c>
      <c r="G77" s="612">
        <f>'TTV By Card'!G56</f>
        <v>0.15</v>
      </c>
      <c r="H77" s="612">
        <f>'TTV By Card'!H56</f>
        <v>0.15</v>
      </c>
      <c r="I77" s="612">
        <f>'TTV By Card'!I56</f>
        <v>0</v>
      </c>
      <c r="J77" s="612">
        <f>'TTV By Card'!J56</f>
        <v>0</v>
      </c>
      <c r="K77" s="612">
        <f>SUM(B77:J77)</f>
        <v>805.56999999999982</v>
      </c>
      <c r="L77" s="613">
        <f>K77/$K$44</f>
        <v>5.5321856580407351E-6</v>
      </c>
      <c r="M77" s="71">
        <f>SUM(C77:J77)</f>
        <v>1</v>
      </c>
      <c r="O77" s="595" t="s">
        <v>10</v>
      </c>
      <c r="P77" s="620">
        <v>461.55999999999995</v>
      </c>
      <c r="Q77" s="621">
        <f t="shared" ref="Q77:Q80" si="340">C77</f>
        <v>1.4E-2</v>
      </c>
      <c r="R77" s="622">
        <f t="shared" ref="R77:R80" si="341">D77+F77+H77</f>
        <v>0.65600000000000003</v>
      </c>
      <c r="S77" s="621">
        <f t="shared" ref="S77:S80" si="342">E77+G77</f>
        <v>0.32999999999999996</v>
      </c>
      <c r="T77" s="621">
        <f t="shared" ref="T77:T80" si="343">I77+J77</f>
        <v>0</v>
      </c>
      <c r="U77" s="612">
        <f>SUM(P77:T77)</f>
        <v>462.55999999999995</v>
      </c>
      <c r="V77" s="613">
        <f>U77/$K$44</f>
        <v>3.1765927206615472E-6</v>
      </c>
      <c r="W77" s="71">
        <f>SUM(Q77:T77)</f>
        <v>1</v>
      </c>
      <c r="X77" s="610" t="s">
        <v>10</v>
      </c>
      <c r="Y77" s="611">
        <v>804.56999999999994</v>
      </c>
      <c r="Z77" s="621">
        <f>C77</f>
        <v>1.4E-2</v>
      </c>
      <c r="AA77" s="621">
        <f t="shared" ref="AA77" si="344">D77</f>
        <v>0.32800000000000001</v>
      </c>
      <c r="AB77" s="621">
        <f t="shared" ref="AB77" si="345">E77</f>
        <v>0.18</v>
      </c>
      <c r="AC77" s="621">
        <f t="shared" ref="AC77" si="346">F77</f>
        <v>0.17799999999999999</v>
      </c>
      <c r="AD77" s="621">
        <f t="shared" ref="AD77" si="347">G77</f>
        <v>0.15</v>
      </c>
      <c r="AE77" s="621">
        <f t="shared" ref="AE77" si="348">H77</f>
        <v>0.15</v>
      </c>
      <c r="AF77" s="621">
        <f t="shared" ref="AF77" si="349">I77</f>
        <v>0</v>
      </c>
      <c r="AG77" s="621">
        <f t="shared" ref="AG77" si="350">J77</f>
        <v>0</v>
      </c>
      <c r="AH77" s="621">
        <f t="shared" ref="AH77" si="351">K77</f>
        <v>805.56999999999982</v>
      </c>
      <c r="AI77" s="613">
        <f>AH77/$K$44</f>
        <v>5.5321856580407351E-6</v>
      </c>
    </row>
    <row r="78" spans="1:35" x14ac:dyDescent="0.25">
      <c r="A78" s="580" t="s">
        <v>43</v>
      </c>
      <c r="B78" s="581"/>
      <c r="C78" s="614">
        <f>'MSF By Card'!C57</f>
        <v>0</v>
      </c>
      <c r="D78" s="614">
        <f>'MSF By Card'!D57</f>
        <v>0</v>
      </c>
      <c r="E78" s="614">
        <f>'MSF By Card'!E57</f>
        <v>0</v>
      </c>
      <c r="F78" s="614">
        <f>'MSF By Card'!F57</f>
        <v>0</v>
      </c>
      <c r="G78" s="614">
        <f>'MSF By Card'!G57</f>
        <v>0</v>
      </c>
      <c r="H78" s="614">
        <f>'MSF By Card'!H57</f>
        <v>0</v>
      </c>
      <c r="I78" s="614">
        <f>'MSF By Card'!I57</f>
        <v>0</v>
      </c>
      <c r="J78" s="614">
        <f>'MSF By Card'!J57</f>
        <v>0</v>
      </c>
      <c r="K78" s="615">
        <f>SUM(C78:J78)</f>
        <v>0</v>
      </c>
      <c r="L78" s="616"/>
      <c r="O78" s="580" t="s">
        <v>43</v>
      </c>
      <c r="P78" s="581"/>
      <c r="Q78" s="614">
        <f t="shared" si="340"/>
        <v>0</v>
      </c>
      <c r="R78" s="614">
        <f t="shared" si="341"/>
        <v>0</v>
      </c>
      <c r="S78" s="614">
        <f t="shared" si="342"/>
        <v>0</v>
      </c>
      <c r="T78" s="614">
        <f t="shared" si="343"/>
        <v>0</v>
      </c>
      <c r="U78" s="615">
        <f>SUM(Q78:T78)</f>
        <v>0</v>
      </c>
      <c r="V78" s="623"/>
      <c r="X78" s="580" t="s">
        <v>75</v>
      </c>
      <c r="Y78" s="581"/>
      <c r="Z78" s="626">
        <f>C78/C77</f>
        <v>0</v>
      </c>
      <c r="AA78" s="626">
        <f t="shared" ref="AA78" si="352">D78/D77</f>
        <v>0</v>
      </c>
      <c r="AB78" s="626">
        <f t="shared" ref="AB78" si="353">E78/E77</f>
        <v>0</v>
      </c>
      <c r="AC78" s="626">
        <f t="shared" ref="AC78" si="354">F78/F77</f>
        <v>0</v>
      </c>
      <c r="AD78" s="626">
        <f t="shared" ref="AD78" si="355">G78/G77</f>
        <v>0</v>
      </c>
      <c r="AE78" s="626">
        <f t="shared" ref="AE78" si="356">H78/H77</f>
        <v>0</v>
      </c>
      <c r="AF78" s="626" t="e">
        <f t="shared" ref="AF78" si="357">I78/I77</f>
        <v>#DIV/0!</v>
      </c>
      <c r="AG78" s="626" t="e">
        <f t="shared" ref="AG78" si="358">J78/J77</f>
        <v>#DIV/0!</v>
      </c>
      <c r="AH78" s="626">
        <f t="shared" ref="AH78" si="359">K78/K77</f>
        <v>0</v>
      </c>
      <c r="AI78" s="616"/>
    </row>
    <row r="79" spans="1:35" x14ac:dyDescent="0.25">
      <c r="A79" s="580" t="s">
        <v>76</v>
      </c>
      <c r="B79" s="581"/>
      <c r="C79" s="614">
        <f>'COA by Card'!C67</f>
        <v>26.16</v>
      </c>
      <c r="D79" s="614">
        <f>'COA by Card'!D67</f>
        <v>0</v>
      </c>
      <c r="E79" s="614">
        <f>'COA by Card'!E67</f>
        <v>0</v>
      </c>
      <c r="F79" s="614">
        <f>'COA by Card'!F67</f>
        <v>0</v>
      </c>
      <c r="G79" s="614">
        <f>'COA by Card'!G67</f>
        <v>0</v>
      </c>
      <c r="H79" s="614">
        <f>'COA by Card'!H67</f>
        <v>0</v>
      </c>
      <c r="I79" s="614">
        <f>'COA by Card'!I67</f>
        <v>313.68</v>
      </c>
      <c r="J79" s="614">
        <f>'COA by Card'!J67</f>
        <v>584.28</v>
      </c>
      <c r="K79" s="615">
        <f>SUM(C79:J79)</f>
        <v>924.12</v>
      </c>
      <c r="L79" s="616"/>
      <c r="O79" s="580" t="s">
        <v>76</v>
      </c>
      <c r="P79" s="581"/>
      <c r="Q79" s="614">
        <f t="shared" si="340"/>
        <v>26.16</v>
      </c>
      <c r="R79" s="614">
        <f t="shared" si="341"/>
        <v>0</v>
      </c>
      <c r="S79" s="614">
        <f t="shared" si="342"/>
        <v>0</v>
      </c>
      <c r="T79" s="614">
        <f t="shared" si="343"/>
        <v>897.96</v>
      </c>
      <c r="U79" s="615">
        <f>SUM(Q79:T79)</f>
        <v>924.12</v>
      </c>
      <c r="V79" s="623"/>
      <c r="X79" s="580" t="s">
        <v>76</v>
      </c>
      <c r="Y79" s="581"/>
      <c r="Z79" s="626">
        <f>C79/C77</f>
        <v>1868.5714285714284</v>
      </c>
      <c r="AA79" s="626">
        <f t="shared" ref="AA79" si="360">D79/D77</f>
        <v>0</v>
      </c>
      <c r="AB79" s="626">
        <f t="shared" ref="AB79" si="361">E79/E77</f>
        <v>0</v>
      </c>
      <c r="AC79" s="626">
        <f t="shared" ref="AC79" si="362">F79/F77</f>
        <v>0</v>
      </c>
      <c r="AD79" s="626">
        <f t="shared" ref="AD79" si="363">G79/G77</f>
        <v>0</v>
      </c>
      <c r="AE79" s="626">
        <f t="shared" ref="AE79" si="364">H79/H77</f>
        <v>0</v>
      </c>
      <c r="AF79" s="626" t="e">
        <f t="shared" ref="AF79" si="365">I79/I77</f>
        <v>#DIV/0!</v>
      </c>
      <c r="AG79" s="626" t="e">
        <f t="shared" ref="AG79" si="366">J79/J77</f>
        <v>#DIV/0!</v>
      </c>
      <c r="AH79" s="626">
        <f>K79/K77</f>
        <v>1.1471628784587313</v>
      </c>
      <c r="AI79" s="616"/>
    </row>
    <row r="80" spans="1:35" x14ac:dyDescent="0.25">
      <c r="A80" s="695" t="s">
        <v>77</v>
      </c>
      <c r="B80" s="599"/>
      <c r="C80" s="696">
        <f>'GP by Card Type'!C57</f>
        <v>0</v>
      </c>
      <c r="D80" s="696">
        <f>'GP by Card Type'!D57</f>
        <v>0</v>
      </c>
      <c r="E80" s="696">
        <f>'GP by Card Type'!E57</f>
        <v>0</v>
      </c>
      <c r="F80" s="696">
        <f>'GP by Card Type'!F57</f>
        <v>0</v>
      </c>
      <c r="G80" s="696">
        <f>'GP by Card Type'!G57</f>
        <v>0</v>
      </c>
      <c r="H80" s="696">
        <f>'GP by Card Type'!H57</f>
        <v>0</v>
      </c>
      <c r="I80" s="696">
        <f>'GP by Card Type'!I57</f>
        <v>0</v>
      </c>
      <c r="J80" s="696">
        <f>'GP by Card Type'!J57</f>
        <v>0</v>
      </c>
      <c r="K80" s="617">
        <f>SUM(C80:J80)</f>
        <v>0</v>
      </c>
      <c r="L80" s="584"/>
      <c r="O80" s="695" t="s">
        <v>77</v>
      </c>
      <c r="P80" s="624"/>
      <c r="Q80" s="625">
        <f t="shared" si="340"/>
        <v>0</v>
      </c>
      <c r="R80" s="625">
        <f t="shared" si="341"/>
        <v>0</v>
      </c>
      <c r="S80" s="625">
        <f t="shared" si="342"/>
        <v>0</v>
      </c>
      <c r="T80" s="625">
        <f t="shared" si="343"/>
        <v>0</v>
      </c>
      <c r="U80" s="617">
        <f>SUM(Q80:T80)</f>
        <v>0</v>
      </c>
      <c r="V80" s="697"/>
      <c r="X80" s="695" t="s">
        <v>78</v>
      </c>
      <c r="Y80" s="599"/>
      <c r="Z80" s="627">
        <f>C80/C77</f>
        <v>0</v>
      </c>
      <c r="AA80" s="627">
        <f t="shared" ref="AA80" si="367">D80/D77</f>
        <v>0</v>
      </c>
      <c r="AB80" s="627">
        <f t="shared" ref="AB80" si="368">E80/E77</f>
        <v>0</v>
      </c>
      <c r="AC80" s="627">
        <f t="shared" ref="AC80" si="369">F80/F77</f>
        <v>0</v>
      </c>
      <c r="AD80" s="627">
        <f t="shared" ref="AD80" si="370">G80/G77</f>
        <v>0</v>
      </c>
      <c r="AE80" s="627">
        <f t="shared" ref="AE80" si="371">H80/H77</f>
        <v>0</v>
      </c>
      <c r="AF80" s="627" t="e">
        <f t="shared" ref="AF80" si="372">I80/I77</f>
        <v>#DIV/0!</v>
      </c>
      <c r="AG80" s="627" t="e">
        <f t="shared" ref="AG80" si="373">J80/J77</f>
        <v>#DIV/0!</v>
      </c>
      <c r="AH80" s="627">
        <f t="shared" ref="AH80" si="374">K80/K77</f>
        <v>0</v>
      </c>
      <c r="AI80" s="584"/>
    </row>
  </sheetData>
  <mergeCells count="6">
    <mergeCell ref="A1:L1"/>
    <mergeCell ref="O1:V1"/>
    <mergeCell ref="A63:L63"/>
    <mergeCell ref="O63:V63"/>
    <mergeCell ref="A73:L73"/>
    <mergeCell ref="O73:V7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A478-5E13-407E-8013-13980635C834}">
  <sheetPr codeName="Sheet5"/>
  <dimension ref="A1:L93"/>
  <sheetViews>
    <sheetView topLeftCell="A2" workbookViewId="0">
      <selection activeCell="C6" sqref="C6"/>
    </sheetView>
  </sheetViews>
  <sheetFormatPr defaultRowHeight="15" x14ac:dyDescent="0.25"/>
  <cols>
    <col min="1" max="1" width="16.5703125" customWidth="1"/>
    <col min="2" max="2" width="14.28515625" hidden="1" customWidth="1"/>
    <col min="3" max="12" width="14.28515625" customWidth="1"/>
    <col min="13" max="13" width="15.28515625" customWidth="1"/>
  </cols>
  <sheetData>
    <row r="1" spans="1:12" ht="39" customHeight="1" x14ac:dyDescent="0.35">
      <c r="A1" s="716" t="s">
        <v>59</v>
      </c>
      <c r="B1" s="717"/>
      <c r="C1" s="717"/>
      <c r="D1" s="717"/>
      <c r="E1" s="717"/>
      <c r="F1" s="717"/>
      <c r="G1" s="717"/>
      <c r="H1" s="717"/>
      <c r="I1" s="717"/>
      <c r="J1" s="717"/>
      <c r="K1" s="717"/>
      <c r="L1" s="717"/>
    </row>
    <row r="2" spans="1:12" ht="27" x14ac:dyDescent="0.25">
      <c r="A2" s="91" t="s">
        <v>60</v>
      </c>
      <c r="C2" s="80" t="s">
        <v>2</v>
      </c>
      <c r="D2" s="80" t="s">
        <v>3</v>
      </c>
      <c r="E2" s="82" t="s">
        <v>4</v>
      </c>
      <c r="F2" s="82" t="s">
        <v>5</v>
      </c>
      <c r="G2" s="25" t="s">
        <v>6</v>
      </c>
      <c r="H2" s="27" t="s">
        <v>7</v>
      </c>
      <c r="I2" s="25" t="s">
        <v>8</v>
      </c>
      <c r="J2" s="27" t="s">
        <v>44</v>
      </c>
      <c r="K2" s="23" t="s">
        <v>10</v>
      </c>
      <c r="L2" s="21" t="s">
        <v>11</v>
      </c>
    </row>
    <row r="3" spans="1:12" x14ac:dyDescent="0.25">
      <c r="A3" s="29" t="s">
        <v>12</v>
      </c>
      <c r="B3" t="s">
        <v>52</v>
      </c>
      <c r="C3" s="81" t="s">
        <v>61</v>
      </c>
      <c r="D3" s="81" t="s">
        <v>61</v>
      </c>
      <c r="E3" s="81" t="s">
        <v>61</v>
      </c>
      <c r="F3" s="81" t="s">
        <v>61</v>
      </c>
      <c r="G3" s="90" t="s">
        <v>61</v>
      </c>
      <c r="H3" s="81" t="s">
        <v>61</v>
      </c>
      <c r="I3" s="81" t="s">
        <v>61</v>
      </c>
      <c r="J3" s="81" t="s">
        <v>61</v>
      </c>
      <c r="K3" s="81" t="s">
        <v>61</v>
      </c>
      <c r="L3" s="58" t="s">
        <v>14</v>
      </c>
    </row>
    <row r="4" spans="1:12" x14ac:dyDescent="0.25">
      <c r="A4" s="275" t="s">
        <v>15</v>
      </c>
      <c r="B4" s="73">
        <v>0.32727272727272722</v>
      </c>
      <c r="C4" s="11">
        <f>'MSF By Card'!C4-'COA by Card'!C4</f>
        <v>-4670.9136363636208</v>
      </c>
      <c r="D4" s="11">
        <f>'MSF By Card'!D4-'COA by Card'!D4</f>
        <v>248641.13545454535</v>
      </c>
      <c r="E4" s="11">
        <f>'MSF By Card'!E4-'COA by Card'!E4</f>
        <v>20972.213636363631</v>
      </c>
      <c r="F4" s="11">
        <f>'MSF By Card'!F4-'COA by Card'!F4</f>
        <v>112732.35181818179</v>
      </c>
      <c r="G4" s="11">
        <f>'MSF By Card'!G4-'COA by Card'!G4</f>
        <v>84411.636363636499</v>
      </c>
      <c r="H4" s="11">
        <f>'MSF By Card'!H4-'COA by Card'!H4</f>
        <v>31269.663636363621</v>
      </c>
      <c r="I4" s="11">
        <f>'MSF By Card'!I4-'COA by Card'!I4</f>
        <v>-27962.221818181828</v>
      </c>
      <c r="J4" s="11">
        <f>'MSF By Card'!J4-'COA by Card'!J4</f>
        <v>-29308.448181818185</v>
      </c>
      <c r="K4" s="77">
        <f>SUM(B4:J4)</f>
        <v>436085.74454545463</v>
      </c>
      <c r="L4" s="78">
        <f>K4/$K$34</f>
        <v>0.44951701546913864</v>
      </c>
    </row>
    <row r="5" spans="1:12" x14ac:dyDescent="0.25">
      <c r="A5" s="665" t="s">
        <v>62</v>
      </c>
      <c r="C5" s="12">
        <f>C4/'MSF By Card'!C4</f>
        <v>-8.511398023098006E-2</v>
      </c>
      <c r="D5" s="12">
        <f>D4/'MSF By Card'!D4</f>
        <v>0.79269002820878964</v>
      </c>
      <c r="E5" s="12">
        <f>E4/'MSF By Card'!E4</f>
        <v>0.56518269298142021</v>
      </c>
      <c r="F5" s="12">
        <f>F4/'MSF By Card'!F4</f>
        <v>0.52178322407025679</v>
      </c>
      <c r="G5" s="12">
        <f>G4/'MSF By Card'!G4</f>
        <v>0.33266765980284924</v>
      </c>
      <c r="H5" s="12">
        <f>H4/'MSF By Card'!H4</f>
        <v>0.60006266384493268</v>
      </c>
      <c r="I5" s="12">
        <f>I4/'MSF By Card'!I4</f>
        <v>-1.0242827909454955</v>
      </c>
      <c r="J5" s="12">
        <f>J4/'MSF By Card'!J4</f>
        <v>-1.1430537222212178</v>
      </c>
      <c r="K5" s="12">
        <f>K4/'MSF By Card'!K4</f>
        <v>0.4447583999163025</v>
      </c>
      <c r="L5" s="12"/>
    </row>
    <row r="6" spans="1:12" x14ac:dyDescent="0.25">
      <c r="A6" s="102" t="s">
        <v>63</v>
      </c>
      <c r="B6" s="103"/>
      <c r="C6" s="104">
        <f>C4/$K$4</f>
        <v>-1.071099822635169E-2</v>
      </c>
      <c r="D6" s="104">
        <f t="shared" ref="D6:J6" si="0">D4/$K$4</f>
        <v>0.57016570379687948</v>
      </c>
      <c r="E6" s="104">
        <f t="shared" si="0"/>
        <v>4.8091949573411542E-2</v>
      </c>
      <c r="F6" s="104">
        <f t="shared" si="0"/>
        <v>0.25850960098612291</v>
      </c>
      <c r="G6" s="104">
        <f t="shared" si="0"/>
        <v>0.1935666034018638</v>
      </c>
      <c r="H6" s="104">
        <f t="shared" si="0"/>
        <v>7.1705310314504639E-2</v>
      </c>
      <c r="I6" s="104">
        <f t="shared" si="0"/>
        <v>-6.4120926143384258E-2</v>
      </c>
      <c r="J6" s="104">
        <f t="shared" si="0"/>
        <v>-6.7207994180977573E-2</v>
      </c>
      <c r="K6" s="104">
        <f>SUM(C6:J6)</f>
        <v>0.99999924952206887</v>
      </c>
      <c r="L6" s="107"/>
    </row>
    <row r="7" spans="1:12" x14ac:dyDescent="0.25">
      <c r="A7" s="275" t="s">
        <v>17</v>
      </c>
      <c r="B7" s="4"/>
      <c r="C7" s="11">
        <f>'MSF By Card'!C6-'COA by Card'!C7</f>
        <v>-73.520909090909015</v>
      </c>
      <c r="D7" s="11">
        <f>'MSF By Card'!D6-'COA by Card'!D7</f>
        <v>11961.205454545448</v>
      </c>
      <c r="E7" s="11">
        <f>'MSF By Card'!E6-'COA by Card'!E7</f>
        <v>825.74454545454535</v>
      </c>
      <c r="F7" s="11">
        <f>'MSF By Card'!F6-'COA by Card'!F7</f>
        <v>4762.905454545451</v>
      </c>
      <c r="G7" s="11">
        <f>'MSF By Card'!G6-'COA by Card'!G7</f>
        <v>1488.0300000000016</v>
      </c>
      <c r="H7" s="11">
        <f>'MSF By Card'!H6-'COA by Card'!H7</f>
        <v>1184.5527272727272</v>
      </c>
      <c r="I7" s="11">
        <f>'MSF By Card'!I6-'COA by Card'!I7</f>
        <v>-179.44545454545451</v>
      </c>
      <c r="J7" s="11">
        <f>'MSF By Card'!J6-'COA by Card'!J7</f>
        <v>-256.52363636363634</v>
      </c>
      <c r="K7" s="77">
        <f>SUM(B7:J7)</f>
        <v>19712.948181818174</v>
      </c>
      <c r="L7" s="79">
        <f>K7/$K$34</f>
        <v>2.0320099300712286E-2</v>
      </c>
    </row>
    <row r="8" spans="1:12" x14ac:dyDescent="0.25">
      <c r="A8" s="9" t="s">
        <v>64</v>
      </c>
      <c r="C8" s="12">
        <f>C7/'MSF By Card'!C6</f>
        <v>-0.17181431909921371</v>
      </c>
      <c r="D8" s="12">
        <f>D7/'MSF By Card'!D6</f>
        <v>0.8160442341208064</v>
      </c>
      <c r="E8" s="12">
        <f>E7/'MSF By Card'!E6</f>
        <v>0.56007189586814565</v>
      </c>
      <c r="F8" s="12">
        <f>F7/'MSF By Card'!F6</f>
        <v>0.55782533980396432</v>
      </c>
      <c r="G8" s="12">
        <f>G7/'MSF By Card'!G6</f>
        <v>0.29158763129017107</v>
      </c>
      <c r="H8" s="12">
        <f>H7/'MSF By Card'!H6</f>
        <v>0.62470718528710945</v>
      </c>
      <c r="I8" s="12">
        <f>I7/'MSF By Card'!I6</f>
        <v>-1.2876899993476409</v>
      </c>
      <c r="J8" s="12">
        <f>J7/'MSF By Card'!J6</f>
        <v>-1.1298790742372065</v>
      </c>
      <c r="K8" s="12">
        <f>K7/'MSF By Card'!K6</f>
        <v>0.60722640044289722</v>
      </c>
      <c r="L8" s="12"/>
    </row>
    <row r="9" spans="1:12" x14ac:dyDescent="0.25">
      <c r="A9" s="105" t="s">
        <v>63</v>
      </c>
      <c r="B9" s="103"/>
      <c r="C9" s="104">
        <f>C7/$K$7</f>
        <v>-3.729574511777974E-3</v>
      </c>
      <c r="D9" s="104">
        <f t="shared" ref="D9:J9" si="1">D7/$K$7</f>
        <v>0.60676897966878529</v>
      </c>
      <c r="E9" s="104">
        <f t="shared" si="1"/>
        <v>4.1888434841834243E-2</v>
      </c>
      <c r="F9" s="104">
        <f t="shared" si="1"/>
        <v>0.24161304593386074</v>
      </c>
      <c r="G9" s="104">
        <f t="shared" si="1"/>
        <v>7.5484903946151233E-2</v>
      </c>
      <c r="H9" s="104">
        <f t="shared" si="1"/>
        <v>6.0090084768004141E-2</v>
      </c>
      <c r="I9" s="104">
        <f t="shared" si="1"/>
        <v>-9.1029232609134685E-3</v>
      </c>
      <c r="J9" s="104">
        <f t="shared" si="1"/>
        <v>-1.3012951385944167E-2</v>
      </c>
      <c r="K9" s="104">
        <f>SUM(C9:J9)</f>
        <v>0.99999999999999989</v>
      </c>
      <c r="L9" s="104"/>
    </row>
    <row r="10" spans="1:12" x14ac:dyDescent="0.25">
      <c r="A10" s="667" t="s">
        <v>18</v>
      </c>
      <c r="B10" s="4">
        <v>2.7272727272727268E-2</v>
      </c>
      <c r="C10" s="11">
        <f>'MSF By Card'!C8-'COA by Card'!C10</f>
        <v>-5436.7718181818418</v>
      </c>
      <c r="D10" s="11">
        <f>'MSF By Card'!D8-'COA by Card'!D10</f>
        <v>172714.26363636358</v>
      </c>
      <c r="E10" s="11">
        <f>'MSF By Card'!E8-'COA by Card'!E10</f>
        <v>18568.272727272717</v>
      </c>
      <c r="F10" s="11">
        <f>'MSF By Card'!F8-'COA by Card'!F10</f>
        <v>89629.400000000023</v>
      </c>
      <c r="G10" s="11">
        <f>'MSF By Card'!G8-'COA by Card'!G10</f>
        <v>65245.400000000052</v>
      </c>
      <c r="H10" s="11">
        <f>'MSF By Card'!H8-'COA by Card'!H10</f>
        <v>31234.909090909074</v>
      </c>
      <c r="I10" s="11">
        <f>'MSF By Card'!I8-'COA by Card'!I10</f>
        <v>-18840.245454545471</v>
      </c>
      <c r="J10" s="11">
        <f>'MSF By Card'!J8-'COA by Card'!J10</f>
        <v>-15427.145454545462</v>
      </c>
      <c r="K10" s="77">
        <f>SUM(B10:J10)</f>
        <v>337688.10999999993</v>
      </c>
      <c r="L10" s="78">
        <f>K10/$K$34</f>
        <v>0.34808877214006684</v>
      </c>
    </row>
    <row r="11" spans="1:12" x14ac:dyDescent="0.25">
      <c r="A11" s="9" t="s">
        <v>64</v>
      </c>
      <c r="C11" s="12">
        <f>C10/'MSF By Card'!C8</f>
        <v>-0.10283376896844029</v>
      </c>
      <c r="D11" s="12">
        <f>D10/'MSF By Card'!D8</f>
        <v>0.8392202367671614</v>
      </c>
      <c r="E11" s="12">
        <f>E10/'MSF By Card'!E8</f>
        <v>0.62104834271362575</v>
      </c>
      <c r="F11" s="12">
        <f>F10/'MSF By Card'!F8</f>
        <v>0.59930567535508583</v>
      </c>
      <c r="G11" s="12">
        <f>G10/'MSF By Card'!G8</f>
        <v>0.31746125969723998</v>
      </c>
      <c r="H11" s="12">
        <f>H10/'MSF By Card'!H8</f>
        <v>0.6616737118812166</v>
      </c>
      <c r="I11" s="12">
        <f>I10/'MSF By Card'!I8</f>
        <v>-1.0278503952589773</v>
      </c>
      <c r="J11" s="12">
        <f>J10/'MSF By Card'!J8</f>
        <v>-1.0088472532019432</v>
      </c>
      <c r="K11" s="12">
        <f>K10/'MSF By Card'!K8</f>
        <v>0.46611306466296365</v>
      </c>
      <c r="L11" s="12"/>
    </row>
    <row r="12" spans="1:12" x14ac:dyDescent="0.25">
      <c r="A12" s="105" t="s">
        <v>63</v>
      </c>
      <c r="B12" s="103"/>
      <c r="C12" s="104">
        <f>C10/$K$10</f>
        <v>-1.6099980002795607E-2</v>
      </c>
      <c r="D12" s="104">
        <f t="shared" ref="D12:J12" si="2">D10/$K$10</f>
        <v>0.511460896968992</v>
      </c>
      <c r="E12" s="104">
        <f t="shared" si="2"/>
        <v>5.4986456962528886E-2</v>
      </c>
      <c r="F12" s="104">
        <f t="shared" si="2"/>
        <v>0.26542065694880418</v>
      </c>
      <c r="G12" s="104">
        <f t="shared" si="2"/>
        <v>0.19321201448283171</v>
      </c>
      <c r="H12" s="104">
        <f t="shared" si="2"/>
        <v>9.249632476224609E-2</v>
      </c>
      <c r="I12" s="104">
        <f t="shared" si="2"/>
        <v>-5.5791853182350644E-2</v>
      </c>
      <c r="J12" s="104">
        <f t="shared" si="2"/>
        <v>-4.5684597703322942E-2</v>
      </c>
      <c r="K12" s="104">
        <f>SUM(C12:J12)</f>
        <v>0.99999991923693377</v>
      </c>
      <c r="L12" s="107"/>
    </row>
    <row r="13" spans="1:12" x14ac:dyDescent="0.25">
      <c r="A13" s="684" t="s">
        <v>19</v>
      </c>
      <c r="B13" s="4">
        <v>5.4545454545454536E-2</v>
      </c>
      <c r="C13" s="11">
        <f>'MSF By Card'!C10-'COA by Card'!C13</f>
        <v>-204.73545454545456</v>
      </c>
      <c r="D13" s="11">
        <f>'MSF By Card'!D10-'COA by Card'!D13</f>
        <v>25541.329999999991</v>
      </c>
      <c r="E13" s="11">
        <f>'MSF By Card'!E10-'COA by Card'!E13</f>
        <v>2374.7709090909125</v>
      </c>
      <c r="F13" s="11">
        <f>'MSF By Card'!F10-'COA by Card'!F13</f>
        <v>15526.309090909093</v>
      </c>
      <c r="G13" s="11">
        <f>'MSF By Card'!G10-'COA by Card'!G13</f>
        <v>9882.4909090909059</v>
      </c>
      <c r="H13" s="11">
        <f>'MSF By Card'!H10-'COA by Card'!H13</f>
        <v>3497.6563636363644</v>
      </c>
      <c r="I13" s="11">
        <f>'MSF By Card'!I10-'COA by Card'!I13</f>
        <v>-2478.3363636363683</v>
      </c>
      <c r="J13" s="11">
        <f>'MSF By Card'!J10-'COA by Card'!J13</f>
        <v>-2322.7363636363648</v>
      </c>
      <c r="K13" s="77">
        <f>SUM(B13:J13)</f>
        <v>51816.803636363627</v>
      </c>
      <c r="L13" s="79">
        <f>K13/$K$34</f>
        <v>5.3412740987548453E-2</v>
      </c>
    </row>
    <row r="14" spans="1:12" x14ac:dyDescent="0.25">
      <c r="A14" t="s">
        <v>64</v>
      </c>
      <c r="C14" s="12">
        <f>C13/'MSF By Card'!C10</f>
        <v>-6.1170670759034672E-2</v>
      </c>
      <c r="D14" s="12">
        <f>D13/'MSF By Card'!D10</f>
        <v>0.76299260347959086</v>
      </c>
      <c r="E14" s="12">
        <f>E13/'MSF By Card'!E10</f>
        <v>0.58003423919922048</v>
      </c>
      <c r="F14" s="12">
        <f>F13/'MSF By Card'!F10</f>
        <v>0.54368949964728031</v>
      </c>
      <c r="G14" s="12">
        <f>G13/'MSF By Card'!G10</f>
        <v>0.36733117432546764</v>
      </c>
      <c r="H14" s="12">
        <f>H13/'MSF By Card'!H10</f>
        <v>0.61597583116396581</v>
      </c>
      <c r="I14" s="12">
        <f>I13/'MSF By Card'!I10</f>
        <v>-1.1312659761643971</v>
      </c>
      <c r="J14" s="12">
        <f>J13/'MSF By Card'!J10</f>
        <v>-1.0067060941926496</v>
      </c>
      <c r="K14" s="12">
        <f>K13/'MSF By Card'!K10</f>
        <v>0.48629867381971315</v>
      </c>
      <c r="L14" s="12"/>
    </row>
    <row r="15" spans="1:12" x14ac:dyDescent="0.25">
      <c r="A15" s="105" t="s">
        <v>63</v>
      </c>
      <c r="B15" s="103"/>
      <c r="C15" s="104">
        <f>C13/$K$13</f>
        <v>-3.951140174184283E-3</v>
      </c>
      <c r="D15" s="104">
        <f t="shared" ref="D15:J15" si="3">D13/$K$13</f>
        <v>0.49291596948438127</v>
      </c>
      <c r="E15" s="104">
        <f t="shared" si="3"/>
        <v>4.5830131201384308E-2</v>
      </c>
      <c r="F15" s="104">
        <f t="shared" si="3"/>
        <v>0.29963849564841066</v>
      </c>
      <c r="G15" s="104">
        <f t="shared" si="3"/>
        <v>0.19071980931984084</v>
      </c>
      <c r="H15" s="104">
        <f t="shared" si="3"/>
        <v>6.7500426853458098E-2</v>
      </c>
      <c r="I15" s="104">
        <f t="shared" si="3"/>
        <v>-4.7828815938332776E-2</v>
      </c>
      <c r="J15" s="104">
        <f t="shared" si="3"/>
        <v>-4.4825929054534183E-2</v>
      </c>
      <c r="K15" s="104">
        <f>SUM(C15:J15)</f>
        <v>0.99999894734042372</v>
      </c>
      <c r="L15" s="107"/>
    </row>
    <row r="16" spans="1:12" x14ac:dyDescent="0.25">
      <c r="A16" s="667" t="s">
        <v>20</v>
      </c>
      <c r="B16" s="4"/>
      <c r="C16" s="11">
        <f>'MSF By Card'!C12-'COA by Card'!C16</f>
        <v>-49.890909090909133</v>
      </c>
      <c r="D16" s="11">
        <f>'MSF By Card'!D12-'COA by Card'!D16</f>
        <v>1730.1118181818183</v>
      </c>
      <c r="E16" s="11">
        <f>'MSF By Card'!E12-'COA by Card'!E16</f>
        <v>142.61363636363626</v>
      </c>
      <c r="F16" s="11">
        <f>'MSF By Card'!F12-'COA by Card'!F16</f>
        <v>543.27272727272737</v>
      </c>
      <c r="G16" s="11">
        <f>'MSF By Card'!G12-'COA by Card'!G16</f>
        <v>186.77636363636316</v>
      </c>
      <c r="H16" s="11">
        <f>'MSF By Card'!H12-'COA by Card'!H16</f>
        <v>171.80000000000007</v>
      </c>
      <c r="I16" s="11">
        <f>'MSF By Card'!I12-'COA by Card'!I16</f>
        <v>-66.892727272727271</v>
      </c>
      <c r="J16" s="11">
        <f>'MSF By Card'!J12-'COA by Card'!J16</f>
        <v>-56.941818181818192</v>
      </c>
      <c r="K16" s="77">
        <f>SUM(B16:J16)</f>
        <v>2600.8490909090901</v>
      </c>
      <c r="L16" s="79">
        <f>K16/$K$34</f>
        <v>2.6809542289663517E-3</v>
      </c>
    </row>
    <row r="17" spans="1:12" x14ac:dyDescent="0.25">
      <c r="A17" s="9" t="s">
        <v>64</v>
      </c>
      <c r="C17" s="12">
        <f>C16/'MSF By Card'!C12</f>
        <v>-0.3722949596363887</v>
      </c>
      <c r="D17" s="12">
        <f>D16/'MSF By Card'!D12</f>
        <v>0.80116989345086997</v>
      </c>
      <c r="E17" s="12">
        <f>E16/'MSF By Card'!E12</f>
        <v>0.47119514612681324</v>
      </c>
      <c r="F17" s="12">
        <f>F16/'MSF By Card'!F12</f>
        <v>0.49756048823539212</v>
      </c>
      <c r="G17" s="12">
        <f>G16/'MSF By Card'!G12</f>
        <v>0.10937072467008402</v>
      </c>
      <c r="H17" s="12">
        <f>H16/'MSF By Card'!H12</f>
        <v>0.52845278375884353</v>
      </c>
      <c r="I17" s="12">
        <f>I16/'MSF By Card'!I12</f>
        <v>-1.5766445253910437</v>
      </c>
      <c r="J17" s="12">
        <f>J16/'MSF By Card'!J12</f>
        <v>-1.3114740368509219</v>
      </c>
      <c r="K17" s="12">
        <f>K16/'MSF By Card'!K12</f>
        <v>0.44790414849280913</v>
      </c>
      <c r="L17" s="12"/>
    </row>
    <row r="18" spans="1:12" x14ac:dyDescent="0.25">
      <c r="A18" s="102" t="s">
        <v>63</v>
      </c>
      <c r="B18" s="103"/>
      <c r="C18" s="104">
        <f>C16/$K$16</f>
        <v>-1.9182546678811908E-2</v>
      </c>
      <c r="D18" s="104">
        <f t="shared" ref="D18:J18" si="4">D16/$K$16</f>
        <v>0.66521038234366847</v>
      </c>
      <c r="E18" s="104">
        <f t="shared" si="4"/>
        <v>5.4833491440207965E-2</v>
      </c>
      <c r="F18" s="104">
        <f t="shared" si="4"/>
        <v>0.20888283336840358</v>
      </c>
      <c r="G18" s="104">
        <f t="shared" si="4"/>
        <v>7.1813610520200577E-2</v>
      </c>
      <c r="H18" s="104">
        <f t="shared" si="4"/>
        <v>6.6055351154553063E-2</v>
      </c>
      <c r="I18" s="104">
        <f t="shared" si="4"/>
        <v>-2.5719572698985723E-2</v>
      </c>
      <c r="J18" s="104">
        <f t="shared" si="4"/>
        <v>-2.189354944923582E-2</v>
      </c>
      <c r="K18" s="104">
        <f>SUM(C18:J18)</f>
        <v>1.0000000000000002</v>
      </c>
      <c r="L18" s="107"/>
    </row>
    <row r="19" spans="1:12" x14ac:dyDescent="0.25">
      <c r="A19" s="275" t="s">
        <v>21</v>
      </c>
      <c r="B19" s="4"/>
      <c r="C19" s="11">
        <f>'MSF By Card'!C14-'COA by Card'!C19</f>
        <v>-351.59181818181787</v>
      </c>
      <c r="D19" s="11">
        <f>'MSF By Card'!D14-'COA by Card'!D19</f>
        <v>29532.138181818173</v>
      </c>
      <c r="E19" s="11">
        <f>'MSF By Card'!E14-'COA by Card'!E19</f>
        <v>2239.1727272727271</v>
      </c>
      <c r="F19" s="11">
        <f>'MSF By Card'!F14-'COA by Card'!F19</f>
        <v>10849.454545454555</v>
      </c>
      <c r="G19" s="11">
        <f>'MSF By Card'!G14-'COA by Card'!G19</f>
        <v>6449.8909090909037</v>
      </c>
      <c r="H19" s="11">
        <f>'MSF By Card'!H14-'COA by Card'!H19</f>
        <v>3289.8818181818142</v>
      </c>
      <c r="I19" s="11">
        <f>'MSF By Card'!I14-'COA by Card'!I19</f>
        <v>-1089.3818181818181</v>
      </c>
      <c r="J19" s="11">
        <f>'MSF By Card'!J14-'COA by Card'!J19</f>
        <v>-1161.8000000000004</v>
      </c>
      <c r="K19" s="77">
        <f>SUM(B19:J19)</f>
        <v>49757.764545454535</v>
      </c>
      <c r="L19" s="78">
        <f>K19/$K$34</f>
        <v>5.1290284295357112E-2</v>
      </c>
    </row>
    <row r="20" spans="1:12" x14ac:dyDescent="0.25">
      <c r="A20" s="9" t="s">
        <v>64</v>
      </c>
      <c r="C20" s="12">
        <f>C19/'MSF By Card'!C14</f>
        <v>-0.1513317551307885</v>
      </c>
      <c r="D20" s="12">
        <f>D19/'MSF By Card'!D14</f>
        <v>0.80561196831054194</v>
      </c>
      <c r="E20" s="12">
        <f>E19/'MSF By Card'!E14</f>
        <v>0.58293986921607743</v>
      </c>
      <c r="F20" s="12">
        <f>F19/'MSF By Card'!F14</f>
        <v>0.55779953728587806</v>
      </c>
      <c r="G20" s="12">
        <f>G19/'MSF By Card'!G14</f>
        <v>0.31849911878175485</v>
      </c>
      <c r="H20" s="12">
        <f>H19/'MSF By Card'!H14</f>
        <v>0.6248728711859195</v>
      </c>
      <c r="I20" s="12">
        <f>I19/'MSF By Card'!I14</f>
        <v>-1.0418543184545026</v>
      </c>
      <c r="J20" s="12">
        <f>J19/'MSF By Card'!J14</f>
        <v>-0.99965582515918161</v>
      </c>
      <c r="K20" s="12">
        <f>K19/'MSF By Card'!K14</f>
        <v>0.55288521651485445</v>
      </c>
      <c r="L20" s="12"/>
    </row>
    <row r="21" spans="1:12" x14ac:dyDescent="0.25">
      <c r="A21" s="105" t="s">
        <v>63</v>
      </c>
      <c r="B21" s="103"/>
      <c r="C21" s="104">
        <f>C19/$K$19</f>
        <v>-7.0660694143651285E-3</v>
      </c>
      <c r="D21" s="104">
        <f t="shared" ref="D21:J21" si="5">D19/$K$19</f>
        <v>0.59351818659055877</v>
      </c>
      <c r="E21" s="104">
        <f t="shared" si="5"/>
        <v>4.5001473593678148E-2</v>
      </c>
      <c r="F21" s="104">
        <f t="shared" si="5"/>
        <v>0.21804545772034031</v>
      </c>
      <c r="G21" s="104">
        <f t="shared" si="5"/>
        <v>0.12962581755856059</v>
      </c>
      <c r="H21" s="104">
        <f t="shared" si="5"/>
        <v>6.6117958638926652E-2</v>
      </c>
      <c r="I21" s="104">
        <f t="shared" si="5"/>
        <v>-2.1893704995260586E-2</v>
      </c>
      <c r="J21" s="104">
        <f t="shared" si="5"/>
        <v>-2.3349119692438695E-2</v>
      </c>
      <c r="K21" s="104">
        <f>SUM(C21:J21)</f>
        <v>1</v>
      </c>
      <c r="L21" s="107"/>
    </row>
    <row r="22" spans="1:12" x14ac:dyDescent="0.25">
      <c r="A22" s="667" t="s">
        <v>22</v>
      </c>
      <c r="B22" s="4"/>
      <c r="C22" s="11">
        <f>'MSF By Card'!C16-'COA by Card'!C22</f>
        <v>-227.35272727272741</v>
      </c>
      <c r="D22" s="11">
        <f>'MSF By Card'!D16-'COA by Card'!D22</f>
        <v>8361.0372727272716</v>
      </c>
      <c r="E22" s="11">
        <f>'MSF By Card'!E16-'COA by Card'!E22</f>
        <v>725.56727272727255</v>
      </c>
      <c r="F22" s="11">
        <f>'MSF By Card'!F16-'COA by Card'!F22</f>
        <v>3487.9545454545455</v>
      </c>
      <c r="G22" s="11">
        <f>'MSF By Card'!G16-'COA by Card'!G22</f>
        <v>3429.4181818181814</v>
      </c>
      <c r="H22" s="11">
        <f>'MSF By Card'!H16-'COA by Card'!H22</f>
        <v>1181.4827272727275</v>
      </c>
      <c r="I22" s="11">
        <f>'MSF By Card'!I16-'COA by Card'!I22</f>
        <v>-583.125454545455</v>
      </c>
      <c r="J22" s="11">
        <f>'MSF By Card'!J16-'COA by Card'!J22</f>
        <v>-624.8154545454546</v>
      </c>
      <c r="K22" s="77">
        <f>SUM(B22:J22)</f>
        <v>15750.166363636359</v>
      </c>
      <c r="L22" s="78">
        <f>K22/$K$34</f>
        <v>1.6235265347423585E-2</v>
      </c>
    </row>
    <row r="23" spans="1:12" x14ac:dyDescent="0.25">
      <c r="A23" s="9" t="s">
        <v>64</v>
      </c>
      <c r="C23" s="12">
        <f>C22/'MSF By Card'!C16</f>
        <v>-0.21439728411360789</v>
      </c>
      <c r="D23" s="12">
        <f>D22/'MSF By Card'!D16</f>
        <v>0.80047251262876817</v>
      </c>
      <c r="E23" s="12">
        <f>E22/'MSF By Card'!E16</f>
        <v>0.58944771864521939</v>
      </c>
      <c r="F23" s="12">
        <f>F22/'MSF By Card'!F16</f>
        <v>0.54143511527942811</v>
      </c>
      <c r="G23" s="12">
        <f>G22/'MSF By Card'!G16</f>
        <v>0.39661959273620373</v>
      </c>
      <c r="H23" s="12">
        <f>H22/'MSF By Card'!H16</f>
        <v>0.64867707173909794</v>
      </c>
      <c r="I23" s="12">
        <f>I22/'MSF By Card'!I16</f>
        <v>-1.0310684605616385</v>
      </c>
      <c r="J23" s="12">
        <f>J22/'MSF By Card'!J16</f>
        <v>-1.0668669088199685</v>
      </c>
      <c r="K23" s="12">
        <f>K22/'MSF By Card'!K16</f>
        <v>0.5114066234501885</v>
      </c>
      <c r="L23" s="12"/>
    </row>
    <row r="24" spans="1:12" x14ac:dyDescent="0.25">
      <c r="A24" s="105" t="s">
        <v>63</v>
      </c>
      <c r="B24" s="103"/>
      <c r="C24" s="104">
        <f>C22/$K$22</f>
        <v>-1.4434941322120535E-2</v>
      </c>
      <c r="D24" s="104">
        <f t="shared" ref="D24:J24" si="6">D22/$K$22</f>
        <v>0.53085390209153926</v>
      </c>
      <c r="E24" s="104">
        <f t="shared" si="6"/>
        <v>4.6067276749688593E-2</v>
      </c>
      <c r="F24" s="104">
        <f t="shared" si="6"/>
        <v>0.22145509227810184</v>
      </c>
      <c r="G24" s="104">
        <f t="shared" si="6"/>
        <v>0.21773853701862778</v>
      </c>
      <c r="H24" s="104">
        <f t="shared" si="6"/>
        <v>7.5013983979274598E-2</v>
      </c>
      <c r="I24" s="104">
        <f t="shared" si="6"/>
        <v>-3.7023447313659009E-2</v>
      </c>
      <c r="J24" s="104">
        <f t="shared" si="6"/>
        <v>-3.967040348145242E-2</v>
      </c>
      <c r="K24" s="104">
        <f>SUM(C24:J24)</f>
        <v>0.99999999999999989</v>
      </c>
      <c r="L24" s="107"/>
    </row>
    <row r="25" spans="1:12" x14ac:dyDescent="0.25">
      <c r="A25" s="275" t="s">
        <v>23</v>
      </c>
      <c r="B25" s="4">
        <v>0.21818181818181814</v>
      </c>
      <c r="C25" s="11">
        <f>'MSF By Card'!C18-'COA by Card'!C25</f>
        <v>-554.69090909090801</v>
      </c>
      <c r="D25" s="11">
        <f>'MSF By Card'!D18-'COA by Card'!D25</f>
        <v>30322.395454545469</v>
      </c>
      <c r="E25" s="11">
        <f>'MSF By Card'!E18-'COA by Card'!E25</f>
        <v>2517.6890909090889</v>
      </c>
      <c r="F25" s="11">
        <f>'MSF By Card'!F18-'COA by Card'!F25</f>
        <v>13433.036363636351</v>
      </c>
      <c r="G25" s="11">
        <f>'MSF By Card'!G18-'COA by Card'!G25</f>
        <v>6021.6999999999935</v>
      </c>
      <c r="H25" s="11">
        <f>'MSF By Card'!H18-'COA by Card'!H25</f>
        <v>3798.6745454545458</v>
      </c>
      <c r="I25" s="11">
        <f>'MSF By Card'!I18-'COA by Card'!I25</f>
        <v>-2049.5163636363641</v>
      </c>
      <c r="J25" s="11">
        <f>'MSF By Card'!J18-'COA by Card'!J25</f>
        <v>-2135.619999999999</v>
      </c>
      <c r="K25" s="77">
        <f>SUM(B25:J25)</f>
        <v>51353.886363636353</v>
      </c>
      <c r="L25" s="78">
        <f>K25/$K$34</f>
        <v>5.2935566043289785E-2</v>
      </c>
    </row>
    <row r="26" spans="1:12" x14ac:dyDescent="0.25">
      <c r="A26" s="9" t="s">
        <v>64</v>
      </c>
      <c r="C26" s="12">
        <f>C25/'MSF By Card'!C18</f>
        <v>-0.17889740139034224</v>
      </c>
      <c r="D26" s="12">
        <f>D25/'MSF By Card'!D18</f>
        <v>0.68075740728494949</v>
      </c>
      <c r="E26" s="12">
        <f>E25/'MSF By Card'!E18</f>
        <v>0.47802930530647314</v>
      </c>
      <c r="F26" s="12">
        <f>F25/'MSF By Card'!F18</f>
        <v>0.40121567507274153</v>
      </c>
      <c r="G26" s="12">
        <f>G25/'MSF By Card'!G18</f>
        <v>0.21963620712923126</v>
      </c>
      <c r="H26" s="12">
        <f>H25/'MSF By Card'!H18</f>
        <v>0.4819335276349222</v>
      </c>
      <c r="I26" s="12">
        <f>I25/'MSF By Card'!I18</f>
        <v>-1.2829012359729597</v>
      </c>
      <c r="J26" s="12">
        <f>J25/'MSF By Card'!J18</f>
        <v>-1.256173166284335</v>
      </c>
      <c r="K26" s="12">
        <f>K25/'MSF By Card'!K18</f>
        <v>0.41088120347478008</v>
      </c>
      <c r="L26" s="12"/>
    </row>
    <row r="27" spans="1:12" x14ac:dyDescent="0.25">
      <c r="A27" s="105" t="s">
        <v>63</v>
      </c>
      <c r="B27" s="103"/>
      <c r="C27" s="104">
        <f>C25/$K$25</f>
        <v>-1.0801342378708152E-2</v>
      </c>
      <c r="D27" s="104">
        <f t="shared" ref="D27:J27" si="7">D25/$K$25</f>
        <v>0.59045960494270855</v>
      </c>
      <c r="E27" s="104">
        <f t="shared" si="7"/>
        <v>4.9026262064790146E-2</v>
      </c>
      <c r="F27" s="104">
        <f t="shared" si="7"/>
        <v>0.26157779507702994</v>
      </c>
      <c r="G27" s="104">
        <f t="shared" si="7"/>
        <v>0.11725889560451952</v>
      </c>
      <c r="H27" s="104">
        <f t="shared" si="7"/>
        <v>7.3970536885099011E-2</v>
      </c>
      <c r="I27" s="104">
        <f t="shared" si="7"/>
        <v>-3.9909664268128787E-2</v>
      </c>
      <c r="J27" s="104">
        <f t="shared" si="7"/>
        <v>-4.1586336521401618E-2</v>
      </c>
      <c r="K27" s="104">
        <f>SUM(C27:J27)</f>
        <v>0.99999575140590846</v>
      </c>
      <c r="L27" s="107"/>
    </row>
    <row r="28" spans="1:12" x14ac:dyDescent="0.25">
      <c r="A28" s="275" t="s">
        <v>24</v>
      </c>
      <c r="B28" s="4"/>
      <c r="C28" s="11">
        <f>'MSF By Card'!C20-'COA by Card'!C28</f>
        <v>-12.717272727272743</v>
      </c>
      <c r="D28" s="11">
        <f>'MSF By Card'!D20-'COA by Card'!D28</f>
        <v>2104.2190909090905</v>
      </c>
      <c r="E28" s="11">
        <f>'MSF By Card'!E20-'COA by Card'!E28</f>
        <v>164.76454545454538</v>
      </c>
      <c r="F28" s="11">
        <f>'MSF By Card'!F20-'COA by Card'!F28</f>
        <v>740.85818181818172</v>
      </c>
      <c r="G28" s="11">
        <f>'MSF By Card'!G20-'COA by Card'!G28</f>
        <v>363.24999999999943</v>
      </c>
      <c r="H28" s="11">
        <f>'MSF By Card'!H20-'COA by Card'!H28</f>
        <v>188.94727272727266</v>
      </c>
      <c r="I28" s="11">
        <f>'MSF By Card'!I20-'COA by Card'!I28</f>
        <v>-13.164545454545456</v>
      </c>
      <c r="J28" s="11">
        <f>'MSF By Card'!J20-'COA by Card'!J28</f>
        <v>-9.0554545454545483</v>
      </c>
      <c r="K28" s="77">
        <f>SUM(B28:J28)</f>
        <v>3527.1018181818172</v>
      </c>
      <c r="L28" s="78">
        <f>K28/$K$34</f>
        <v>3.6357351791388402E-3</v>
      </c>
    </row>
    <row r="29" spans="1:12" x14ac:dyDescent="0.25">
      <c r="A29" s="9" t="s">
        <v>64</v>
      </c>
      <c r="C29" s="12">
        <f>C28/'MSF By Card'!C20</f>
        <v>-0.18545671483494655</v>
      </c>
      <c r="D29" s="12">
        <f>D28/'MSF By Card'!D20</f>
        <v>0.81331620946404148</v>
      </c>
      <c r="E29" s="12">
        <f>E28/'MSF By Card'!E20</f>
        <v>0.59685503523677785</v>
      </c>
      <c r="F29" s="12">
        <f>F28/'MSF By Card'!F20</f>
        <v>0.57987448234641159</v>
      </c>
      <c r="G29" s="12">
        <f>G28/'MSF By Card'!G20</f>
        <v>0.31452939648454381</v>
      </c>
      <c r="H29" s="12">
        <f>H28/'MSF By Card'!H20</f>
        <v>0.57027382977555829</v>
      </c>
      <c r="I29" s="12">
        <f>I28/'MSF By Card'!I20</f>
        <v>-0.83608545034642046</v>
      </c>
      <c r="J29" s="12">
        <f>J28/'MSF By Card'!J20</f>
        <v>-1.1384000000000005</v>
      </c>
      <c r="K29" s="12">
        <f>K28/'MSF By Card'!K20</f>
        <v>0.61669284029424654</v>
      </c>
      <c r="L29" s="12"/>
    </row>
    <row r="30" spans="1:12" x14ac:dyDescent="0.25">
      <c r="A30" s="102" t="s">
        <v>63</v>
      </c>
      <c r="B30" s="103"/>
      <c r="C30" s="104">
        <f>C28/$K$28</f>
        <v>-3.6055870748376521E-3</v>
      </c>
      <c r="D30" s="104">
        <f t="shared" ref="D30:J30" si="8">D28/$K$28</f>
        <v>0.59658586550069959</v>
      </c>
      <c r="E30" s="104">
        <f t="shared" si="8"/>
        <v>4.6713861393283998E-2</v>
      </c>
      <c r="F30" s="104">
        <f t="shared" si="8"/>
        <v>0.21004729095121108</v>
      </c>
      <c r="G30" s="104">
        <f t="shared" si="8"/>
        <v>0.1029882375743978</v>
      </c>
      <c r="H30" s="104">
        <f t="shared" si="8"/>
        <v>5.3570121438873838E-2</v>
      </c>
      <c r="I30" s="104">
        <f t="shared" si="8"/>
        <v>-3.7323973429640419E-3</v>
      </c>
      <c r="J30" s="104">
        <f t="shared" si="8"/>
        <v>-2.5673924406646523E-3</v>
      </c>
      <c r="K30" s="104">
        <f>SUM(C30:J30)</f>
        <v>1.0000000000000002</v>
      </c>
      <c r="L30" s="107"/>
    </row>
    <row r="31" spans="1:12" x14ac:dyDescent="0.25">
      <c r="A31" s="275" t="s">
        <v>25</v>
      </c>
      <c r="B31" s="4"/>
      <c r="C31" s="11">
        <f>'MSF By Card'!C22-'COA by Card'!C31</f>
        <v>93.557272727272903</v>
      </c>
      <c r="D31" s="11">
        <f>'MSF By Card'!D22-'COA by Card'!D31</f>
        <v>0</v>
      </c>
      <c r="E31" s="11">
        <f>'MSF By Card'!E22-'COA by Card'!E31</f>
        <v>117.92636363636367</v>
      </c>
      <c r="F31" s="11">
        <f>'MSF By Card'!F22-'COA by Card'!F31</f>
        <v>1199.7545454545457</v>
      </c>
      <c r="G31" s="11">
        <f>'MSF By Card'!G22-'COA by Card'!G31</f>
        <v>-32.85727272727263</v>
      </c>
      <c r="H31" s="11">
        <f>'MSF By Card'!H22-'COA by Card'!H31</f>
        <v>89.61272727272717</v>
      </c>
      <c r="I31" s="11">
        <f>'MSF By Card'!I22-'COA by Card'!I31</f>
        <v>-61.268181818182484</v>
      </c>
      <c r="J31" s="11">
        <f>'MSF By Card'!J22-'COA by Card'!J31</f>
        <v>420.56181818181744</v>
      </c>
      <c r="K31" s="77">
        <f>SUM(B31:J31)</f>
        <v>1827.2872727272718</v>
      </c>
      <c r="L31" s="78">
        <f>K31/$K$34</f>
        <v>1.8835670083581198E-3</v>
      </c>
    </row>
    <row r="32" spans="1:12" x14ac:dyDescent="0.25">
      <c r="A32" s="9" t="s">
        <v>64</v>
      </c>
      <c r="C32" s="12">
        <f>C31/'MSF By Card'!C22</f>
        <v>4.183897485100059E-2</v>
      </c>
      <c r="D32" s="12" t="e">
        <f>D31/'MSF By Card'!D22</f>
        <v>#DIV/0!</v>
      </c>
      <c r="E32" s="12">
        <f>E31/'MSF By Card'!E22</f>
        <v>0.31951279588167203</v>
      </c>
      <c r="F32" s="12">
        <f>F31/'MSF By Card'!F22</f>
        <v>0.28656080566116809</v>
      </c>
      <c r="G32" s="12">
        <f>G31/'MSF By Card'!G22</f>
        <v>-2.5955662159153667E-2</v>
      </c>
      <c r="H32" s="12">
        <f>H31/'MSF By Card'!H22</f>
        <v>0.12576743473933999</v>
      </c>
      <c r="I32" s="12">
        <f>I31/'MSF By Card'!I22</f>
        <v>-4.1408357244235736E-2</v>
      </c>
      <c r="J32" s="12">
        <f>J31/'MSF By Card'!J22</f>
        <v>0.23794896589325085</v>
      </c>
      <c r="K32" s="12">
        <f>K31/'MSF By Card'!K22</f>
        <v>0.15203253016422402</v>
      </c>
      <c r="L32" s="12"/>
    </row>
    <row r="33" spans="1:12" x14ac:dyDescent="0.25">
      <c r="A33" s="102" t="s">
        <v>63</v>
      </c>
      <c r="B33" s="103"/>
      <c r="C33" s="107">
        <f>C31/$K$31</f>
        <v>5.1200089949532859E-2</v>
      </c>
      <c r="D33" s="107">
        <f t="shared" ref="D33:J33" si="9">D31/$K$31</f>
        <v>0</v>
      </c>
      <c r="E33" s="107">
        <f t="shared" si="9"/>
        <v>6.4536302198589524E-2</v>
      </c>
      <c r="F33" s="107">
        <f t="shared" si="9"/>
        <v>0.65657686306974716</v>
      </c>
      <c r="G33" s="107">
        <f t="shared" si="9"/>
        <v>-1.7981448903889276E-2</v>
      </c>
      <c r="H33" s="107">
        <f t="shared" si="9"/>
        <v>4.9041400665467312E-2</v>
      </c>
      <c r="I33" s="107">
        <f t="shared" si="9"/>
        <v>-3.3529583844109083E-2</v>
      </c>
      <c r="J33" s="107">
        <f t="shared" si="9"/>
        <v>0.23015637686466148</v>
      </c>
      <c r="K33" s="107">
        <f>SUM(C33:J33)</f>
        <v>1</v>
      </c>
      <c r="L33" s="107"/>
    </row>
    <row r="34" spans="1:12" x14ac:dyDescent="0.25">
      <c r="A34" s="83" t="s">
        <v>10</v>
      </c>
      <c r="B34" s="29">
        <v>1.227272727272728</v>
      </c>
      <c r="C34" s="94">
        <f>SUM(C4,C7,C10,C13,C16,C19,C22,C25,C28,C31)</f>
        <v>-11488.628181818189</v>
      </c>
      <c r="D34" s="84">
        <f t="shared" ref="D34:K34" si="10">SUM(D4,D7,D10,D13,D16,D19,D22,D25,D28,D31)</f>
        <v>530907.83636363631</v>
      </c>
      <c r="E34" s="86">
        <f t="shared" si="10"/>
        <v>48648.735454545444</v>
      </c>
      <c r="F34" s="84">
        <f t="shared" si="10"/>
        <v>252905.2972727273</v>
      </c>
      <c r="G34" s="86">
        <f t="shared" si="10"/>
        <v>177445.73545454562</v>
      </c>
      <c r="H34" s="84">
        <f t="shared" si="10"/>
        <v>75907.180909090879</v>
      </c>
      <c r="I34" s="84">
        <f t="shared" si="10"/>
        <v>-53323.598181818212</v>
      </c>
      <c r="J34" s="84">
        <f t="shared" si="10"/>
        <v>-50882.524545454551</v>
      </c>
      <c r="K34" s="84">
        <f t="shared" si="10"/>
        <v>970120.66181818175</v>
      </c>
      <c r="L34" s="64">
        <f>K34/$K$34</f>
        <v>1</v>
      </c>
    </row>
    <row r="35" spans="1:12" x14ac:dyDescent="0.25">
      <c r="A35" s="88" t="s">
        <v>64</v>
      </c>
      <c r="B35" s="29"/>
      <c r="C35" s="85">
        <f>C34/'MSF By Card'!C24</f>
        <v>-9.5384230218711827E-2</v>
      </c>
      <c r="D35" s="85">
        <f>D34/'MSF By Card'!D24</f>
        <v>0.79956536947694978</v>
      </c>
      <c r="E35" s="85">
        <f>E34/'MSF By Card'!E24</f>
        <v>0.58011508073907181</v>
      </c>
      <c r="F35" s="85">
        <f>F34/'MSF By Card'!F24</f>
        <v>0.53966633648627116</v>
      </c>
      <c r="G35" s="87">
        <f>G34/'MSF By Card'!G24</f>
        <v>0.32162661277307963</v>
      </c>
      <c r="H35" s="85">
        <f>H34/'MSF By Card'!H24</f>
        <v>0.61598799066153453</v>
      </c>
      <c r="I35" s="85">
        <f>I34/'MSF By Card'!I24</f>
        <v>-1.0117233806653352</v>
      </c>
      <c r="J35" s="87">
        <f>J34/'MSF By Card'!J24</f>
        <v>-1.0440994277772859</v>
      </c>
      <c r="K35" s="85">
        <f>K34/'MSF By Card'!K24</f>
        <v>0.45905081432561995</v>
      </c>
      <c r="L35" s="75"/>
    </row>
    <row r="36" spans="1:12" x14ac:dyDescent="0.25">
      <c r="A36" s="111" t="s">
        <v>63</v>
      </c>
      <c r="B36" s="112"/>
      <c r="C36" s="113">
        <f>C34/$K$34</f>
        <v>-1.1842473450968893E-2</v>
      </c>
      <c r="D36" s="114">
        <f t="shared" ref="D36:J36" si="11">D34/$K$34</f>
        <v>0.5472595907488651</v>
      </c>
      <c r="E36" s="113">
        <f t="shared" si="11"/>
        <v>5.0147097540803744E-2</v>
      </c>
      <c r="F36" s="113">
        <f t="shared" si="11"/>
        <v>0.26069468183342986</v>
      </c>
      <c r="G36" s="113">
        <f t="shared" si="11"/>
        <v>0.18291099492920829</v>
      </c>
      <c r="H36" s="113">
        <f t="shared" si="11"/>
        <v>7.8245092488626183E-2</v>
      </c>
      <c r="I36" s="113">
        <f t="shared" si="11"/>
        <v>-5.4965944217578187E-2</v>
      </c>
      <c r="J36" s="113">
        <f t="shared" si="11"/>
        <v>-5.2449686464868701E-2</v>
      </c>
      <c r="K36" s="113">
        <f>SUM(C36:J36)</f>
        <v>0.99999935340751733</v>
      </c>
      <c r="L36" s="115"/>
    </row>
    <row r="43" spans="1:12" ht="21" x14ac:dyDescent="0.35">
      <c r="A43" s="716" t="s">
        <v>65</v>
      </c>
      <c r="B43" s="717"/>
      <c r="C43" s="717"/>
      <c r="D43" s="717"/>
      <c r="E43" s="717"/>
      <c r="F43" s="717"/>
      <c r="G43" s="717"/>
      <c r="H43" s="717"/>
      <c r="I43" s="717"/>
      <c r="J43" s="717"/>
      <c r="K43" s="717"/>
      <c r="L43" s="717"/>
    </row>
    <row r="44" spans="1:12" ht="27" x14ac:dyDescent="0.25">
      <c r="A44" s="524" t="s">
        <v>60</v>
      </c>
      <c r="B44" s="525"/>
      <c r="C44" s="526" t="s">
        <v>2</v>
      </c>
      <c r="D44" s="526" t="s">
        <v>3</v>
      </c>
      <c r="E44" s="527" t="s">
        <v>4</v>
      </c>
      <c r="F44" s="527" t="s">
        <v>5</v>
      </c>
      <c r="G44" s="500" t="s">
        <v>6</v>
      </c>
      <c r="H44" s="501" t="s">
        <v>7</v>
      </c>
      <c r="I44" s="500" t="s">
        <v>8</v>
      </c>
      <c r="J44" s="501" t="s">
        <v>44</v>
      </c>
      <c r="K44" s="499" t="s">
        <v>10</v>
      </c>
      <c r="L44" s="502" t="s">
        <v>11</v>
      </c>
    </row>
    <row r="45" spans="1:12" x14ac:dyDescent="0.25">
      <c r="A45" s="510" t="s">
        <v>12</v>
      </c>
      <c r="B45" s="525" t="s">
        <v>52</v>
      </c>
      <c r="C45" s="537" t="s">
        <v>61</v>
      </c>
      <c r="D45" s="537" t="s">
        <v>61</v>
      </c>
      <c r="E45" s="537" t="s">
        <v>61</v>
      </c>
      <c r="F45" s="537" t="s">
        <v>61</v>
      </c>
      <c r="G45" s="538" t="s">
        <v>61</v>
      </c>
      <c r="H45" s="537" t="s">
        <v>61</v>
      </c>
      <c r="I45" s="537" t="s">
        <v>61</v>
      </c>
      <c r="J45" s="537" t="s">
        <v>61</v>
      </c>
      <c r="K45" s="537" t="s">
        <v>61</v>
      </c>
      <c r="L45" s="522" t="s">
        <v>14</v>
      </c>
    </row>
    <row r="47" spans="1:12" x14ac:dyDescent="0.25">
      <c r="A47" s="530" t="s">
        <v>10</v>
      </c>
      <c r="B47" s="510">
        <v>1.227272727272728</v>
      </c>
      <c r="C47" s="532">
        <f>'MSF By Card'!C47-'COA by Card'!C57</f>
        <v>-10848.452117077577</v>
      </c>
      <c r="D47" s="532">
        <f>'MSF By Card'!D47-'COA by Card'!D57</f>
        <v>133626.63367055924</v>
      </c>
      <c r="E47" s="532">
        <f>'MSF By Card'!E47-'COA by Card'!E57</f>
        <v>13116.888738100315</v>
      </c>
      <c r="F47" s="532">
        <f>'MSF By Card'!F47-'COA by Card'!F57</f>
        <v>65471.951516376728</v>
      </c>
      <c r="G47" s="532">
        <f>'MSF By Card'!G47-'COA by Card'!G57</f>
        <v>41511.528485354182</v>
      </c>
      <c r="H47" s="532">
        <f>'MSF By Card'!H47-'COA by Card'!H57</f>
        <v>21095.571946039483</v>
      </c>
      <c r="I47" s="532">
        <f>'MSF By Card'!I47-'COA by Card'!I57</f>
        <v>-11910.106362493423</v>
      </c>
      <c r="J47" s="532">
        <f>'MSF By Card'!J47-'COA by Card'!J57</f>
        <v>-12401.743149586242</v>
      </c>
      <c r="K47" s="539">
        <f>SUM(B47:J47)</f>
        <v>239663.5</v>
      </c>
      <c r="L47" s="523">
        <f>K47/$K$34</f>
        <v>0.24704504236702599</v>
      </c>
    </row>
    <row r="48" spans="1:12" x14ac:dyDescent="0.25">
      <c r="A48" s="540" t="s">
        <v>64</v>
      </c>
      <c r="B48" s="510"/>
      <c r="C48" s="541">
        <f>C47/'MSF By Card'!C47</f>
        <v>-0.56940841313132817</v>
      </c>
      <c r="D48" s="541">
        <f>D47/'MSF By Card'!D47</f>
        <v>0.81584817325805625</v>
      </c>
      <c r="E48" s="541">
        <f>E47/'MSF By Card'!E47</f>
        <v>0.62174161002853845</v>
      </c>
      <c r="F48" s="541">
        <f>F47/'MSF By Card'!F47</f>
        <v>0.57249368106797227</v>
      </c>
      <c r="G48" s="541">
        <f>G47/'MSF By Card'!G47</f>
        <v>0.32858898514030405</v>
      </c>
      <c r="H48" s="541">
        <f>H47/'MSF By Card'!H47</f>
        <v>0.66296422252541087</v>
      </c>
      <c r="I48" s="541">
        <f>I47/'MSF By Card'!I47</f>
        <v>-0.98271782253028972</v>
      </c>
      <c r="J48" s="541">
        <f>J47/'MSF By Card'!J47</f>
        <v>-1.2189110978787483</v>
      </c>
      <c r="K48" s="541">
        <f>K47/'MSF By Card'!K47</f>
        <v>0.48053094844902322</v>
      </c>
      <c r="L48" s="536"/>
    </row>
    <row r="51" spans="1:12" ht="21" x14ac:dyDescent="0.35">
      <c r="A51" s="716" t="s">
        <v>66</v>
      </c>
      <c r="B51" s="717"/>
      <c r="C51" s="717"/>
      <c r="D51" s="717"/>
      <c r="E51" s="717"/>
      <c r="F51" s="717"/>
      <c r="G51" s="717"/>
      <c r="H51" s="717"/>
      <c r="I51" s="717"/>
      <c r="J51" s="717"/>
      <c r="K51" s="717"/>
      <c r="L51" s="717"/>
    </row>
    <row r="52" spans="1:12" ht="27" x14ac:dyDescent="0.25">
      <c r="A52" s="590" t="s">
        <v>60</v>
      </c>
      <c r="B52" s="575"/>
      <c r="C52" s="591" t="s">
        <v>2</v>
      </c>
      <c r="D52" s="591" t="s">
        <v>3</v>
      </c>
      <c r="E52" s="592" t="s">
        <v>4</v>
      </c>
      <c r="F52" s="592" t="s">
        <v>5</v>
      </c>
      <c r="G52" s="566" t="s">
        <v>6</v>
      </c>
      <c r="H52" s="567" t="s">
        <v>7</v>
      </c>
      <c r="I52" s="566" t="s">
        <v>8</v>
      </c>
      <c r="J52" s="567" t="s">
        <v>44</v>
      </c>
      <c r="K52" s="565" t="s">
        <v>10</v>
      </c>
      <c r="L52" s="568" t="s">
        <v>11</v>
      </c>
    </row>
    <row r="53" spans="1:12" x14ac:dyDescent="0.25">
      <c r="A53" s="577" t="s">
        <v>12</v>
      </c>
      <c r="B53" s="575" t="s">
        <v>52</v>
      </c>
      <c r="C53" s="602" t="s">
        <v>61</v>
      </c>
      <c r="D53" s="602" t="s">
        <v>61</v>
      </c>
      <c r="E53" s="602" t="s">
        <v>61</v>
      </c>
      <c r="F53" s="602" t="s">
        <v>61</v>
      </c>
      <c r="G53" s="603" t="s">
        <v>61</v>
      </c>
      <c r="H53" s="602" t="s">
        <v>61</v>
      </c>
      <c r="I53" s="602" t="s">
        <v>61</v>
      </c>
      <c r="J53" s="602" t="s">
        <v>61</v>
      </c>
      <c r="K53" s="602" t="s">
        <v>61</v>
      </c>
      <c r="L53" s="589" t="s">
        <v>14</v>
      </c>
    </row>
    <row r="54" spans="1:12" x14ac:dyDescent="0.25">
      <c r="A54" s="575"/>
      <c r="B54" s="575"/>
      <c r="C54" s="575"/>
      <c r="D54" s="575"/>
      <c r="E54" s="575"/>
      <c r="F54" s="575"/>
      <c r="G54" s="575"/>
      <c r="H54" s="575"/>
      <c r="I54" s="575"/>
      <c r="J54" s="575"/>
      <c r="K54" s="575"/>
      <c r="L54" s="575"/>
    </row>
    <row r="55" spans="1:12" x14ac:dyDescent="0.25">
      <c r="A55" s="595" t="s">
        <v>10</v>
      </c>
      <c r="B55" s="577">
        <v>1.227272727272728</v>
      </c>
      <c r="C55" s="597">
        <f>'MSF By Card'!C55-'COA by Card'!C65</f>
        <v>19052.145818181816</v>
      </c>
      <c r="D55" s="597">
        <f>'MSF By Card'!D55-'COA by Card'!D65</f>
        <v>163788.60436363638</v>
      </c>
      <c r="E55" s="597">
        <f>'MSF By Card'!E55-'COA by Card'!E65</f>
        <v>21097.009636363633</v>
      </c>
      <c r="F55" s="597">
        <f>'MSF By Card'!F55-'COA by Card'!F65</f>
        <v>114362.74963636363</v>
      </c>
      <c r="G55" s="597">
        <f>'MSF By Card'!G55-'COA by Card'!G65</f>
        <v>126332.68418181819</v>
      </c>
      <c r="H55" s="597">
        <f>'MSF By Card'!H55-'COA by Card'!H65</f>
        <v>31820.075999999997</v>
      </c>
      <c r="I55" s="597">
        <f>'MSF By Card'!I55-'COA by Card'!I65</f>
        <v>12119.558727272726</v>
      </c>
      <c r="J55" s="597">
        <f>'MSF By Card'!J55-'COA by Card'!J65</f>
        <v>10174.444363636363</v>
      </c>
      <c r="K55" s="604">
        <f>SUM(B55:J55)</f>
        <v>498748.5</v>
      </c>
      <c r="L55" s="605">
        <f>K55/$K$34</f>
        <v>0.51410975936256731</v>
      </c>
    </row>
    <row r="56" spans="1:12" x14ac:dyDescent="0.25">
      <c r="A56" s="606" t="s">
        <v>64</v>
      </c>
      <c r="B56" s="577"/>
      <c r="C56" s="607">
        <f>C55/'MSF By Card'!C55</f>
        <v>1</v>
      </c>
      <c r="D56" s="607">
        <f>D55/'MSF By Card'!D55</f>
        <v>1</v>
      </c>
      <c r="E56" s="607">
        <f>E55/'MSF By Card'!E55</f>
        <v>1</v>
      </c>
      <c r="F56" s="607">
        <f>F55/'MSF By Card'!F55</f>
        <v>1</v>
      </c>
      <c r="G56" s="607">
        <f>G55/'MSF By Card'!G55</f>
        <v>1</v>
      </c>
      <c r="H56" s="607">
        <f>H55/'MSF By Card'!H55</f>
        <v>1</v>
      </c>
      <c r="I56" s="607">
        <f>I55/'MSF By Card'!I55</f>
        <v>1</v>
      </c>
      <c r="J56" s="607">
        <f>J55/'MSF By Card'!J55</f>
        <v>1</v>
      </c>
      <c r="K56" s="607">
        <f>K55/'MSF By Card'!K55</f>
        <v>1.0000024607106532</v>
      </c>
      <c r="L56" s="601"/>
    </row>
    <row r="58" spans="1:12" ht="21" x14ac:dyDescent="0.35">
      <c r="A58" s="716" t="s">
        <v>59</v>
      </c>
      <c r="B58" s="717"/>
      <c r="C58" s="717"/>
      <c r="D58" s="717"/>
      <c r="E58" s="717"/>
      <c r="F58" s="717"/>
      <c r="G58" s="717"/>
      <c r="H58" s="717"/>
      <c r="I58" s="717"/>
      <c r="J58" s="717"/>
      <c r="K58" s="717"/>
      <c r="L58" s="717"/>
    </row>
    <row r="59" spans="1:12" ht="27" x14ac:dyDescent="0.25">
      <c r="A59" s="91" t="s">
        <v>60</v>
      </c>
      <c r="C59" s="80" t="s">
        <v>2</v>
      </c>
      <c r="D59" s="80" t="s">
        <v>3</v>
      </c>
      <c r="E59" s="82" t="s">
        <v>4</v>
      </c>
      <c r="F59" s="82" t="s">
        <v>5</v>
      </c>
      <c r="G59" s="25" t="s">
        <v>6</v>
      </c>
      <c r="H59" s="27" t="s">
        <v>7</v>
      </c>
      <c r="I59" s="25" t="s">
        <v>8</v>
      </c>
      <c r="J59" s="27" t="s">
        <v>44</v>
      </c>
      <c r="K59" s="23" t="s">
        <v>10</v>
      </c>
      <c r="L59" s="21" t="s">
        <v>11</v>
      </c>
    </row>
    <row r="60" spans="1:12" x14ac:dyDescent="0.25">
      <c r="A60" s="29" t="s">
        <v>12</v>
      </c>
      <c r="B60" t="s">
        <v>52</v>
      </c>
      <c r="C60" s="81" t="s">
        <v>61</v>
      </c>
      <c r="D60" s="81" t="s">
        <v>61</v>
      </c>
      <c r="E60" s="81" t="s">
        <v>61</v>
      </c>
      <c r="F60" s="81" t="s">
        <v>61</v>
      </c>
      <c r="G60" s="90" t="s">
        <v>61</v>
      </c>
      <c r="H60" s="81" t="s">
        <v>61</v>
      </c>
      <c r="I60" s="81" t="s">
        <v>61</v>
      </c>
      <c r="J60" s="81" t="s">
        <v>61</v>
      </c>
      <c r="K60" s="81" t="s">
        <v>61</v>
      </c>
      <c r="L60" s="58" t="s">
        <v>14</v>
      </c>
    </row>
    <row r="61" spans="1:12" x14ac:dyDescent="0.25">
      <c r="A61" s="275" t="s">
        <v>15</v>
      </c>
      <c r="B61" s="73">
        <v>0.32727272727272722</v>
      </c>
      <c r="C61" s="11" t="e">
        <f>'MSF By Card'!C61-'COA by Card'!C55</f>
        <v>#VALUE!</v>
      </c>
      <c r="D61" s="11" t="e">
        <f>'MSF By Card'!D61-'COA by Card'!D55</f>
        <v>#VALUE!</v>
      </c>
      <c r="E61" s="11" t="e">
        <f>'MSF By Card'!E61-'COA by Card'!E55</f>
        <v>#VALUE!</v>
      </c>
      <c r="F61" s="11" t="e">
        <f>'MSF By Card'!F61-'COA by Card'!F55</f>
        <v>#VALUE!</v>
      </c>
      <c r="G61" s="11" t="e">
        <f>'MSF By Card'!G61-'COA by Card'!G55</f>
        <v>#VALUE!</v>
      </c>
      <c r="H61" s="11" t="e">
        <f>'MSF By Card'!H61-'COA by Card'!H55</f>
        <v>#VALUE!</v>
      </c>
      <c r="I61" s="11" t="e">
        <f>'MSF By Card'!I61-'COA by Card'!I55</f>
        <v>#VALUE!</v>
      </c>
      <c r="J61" s="11" t="e">
        <f>'MSF By Card'!J61-'COA by Card'!J55</f>
        <v>#VALUE!</v>
      </c>
      <c r="K61" s="77" t="e">
        <f>SUM(B61:J61)</f>
        <v>#VALUE!</v>
      </c>
      <c r="L61" s="78" t="e">
        <f>K61/$K$34</f>
        <v>#VALUE!</v>
      </c>
    </row>
    <row r="62" spans="1:12" x14ac:dyDescent="0.25">
      <c r="A62" s="665" t="s">
        <v>62</v>
      </c>
      <c r="C62" s="12" t="e">
        <f>C61/'MSF By Card'!C61</f>
        <v>#VALUE!</v>
      </c>
      <c r="D62" s="12" t="e">
        <f>D61/'MSF By Card'!D61</f>
        <v>#VALUE!</v>
      </c>
      <c r="E62" s="12" t="e">
        <f>E61/'MSF By Card'!E61</f>
        <v>#VALUE!</v>
      </c>
      <c r="F62" s="12" t="e">
        <f>F61/'MSF By Card'!F61</f>
        <v>#VALUE!</v>
      </c>
      <c r="G62" s="12" t="e">
        <f>G61/'MSF By Card'!G61</f>
        <v>#VALUE!</v>
      </c>
      <c r="H62" s="12" t="e">
        <f>H61/'MSF By Card'!H61</f>
        <v>#VALUE!</v>
      </c>
      <c r="I62" s="12" t="e">
        <f>I61/'MSF By Card'!I61</f>
        <v>#VALUE!</v>
      </c>
      <c r="J62" s="12" t="e">
        <f>J61/'MSF By Card'!J61</f>
        <v>#VALUE!</v>
      </c>
      <c r="K62" s="12" t="e">
        <f>K61/'MSF By Card'!K61</f>
        <v>#VALUE!</v>
      </c>
      <c r="L62" s="12"/>
    </row>
    <row r="63" spans="1:12" x14ac:dyDescent="0.25">
      <c r="A63" s="102" t="s">
        <v>63</v>
      </c>
      <c r="B63" s="103"/>
      <c r="C63" s="104" t="e">
        <f>C61/$K$4</f>
        <v>#VALUE!</v>
      </c>
      <c r="D63" s="104" t="e">
        <f t="shared" ref="D63:J63" si="12">D61/$K$4</f>
        <v>#VALUE!</v>
      </c>
      <c r="E63" s="104" t="e">
        <f t="shared" si="12"/>
        <v>#VALUE!</v>
      </c>
      <c r="F63" s="104" t="e">
        <f t="shared" si="12"/>
        <v>#VALUE!</v>
      </c>
      <c r="G63" s="104" t="e">
        <f t="shared" si="12"/>
        <v>#VALUE!</v>
      </c>
      <c r="H63" s="104" t="e">
        <f t="shared" si="12"/>
        <v>#VALUE!</v>
      </c>
      <c r="I63" s="104" t="e">
        <f t="shared" si="12"/>
        <v>#VALUE!</v>
      </c>
      <c r="J63" s="104" t="e">
        <f t="shared" si="12"/>
        <v>#VALUE!</v>
      </c>
      <c r="K63" s="104" t="e">
        <f>SUM(C63:J63)</f>
        <v>#VALUE!</v>
      </c>
      <c r="L63" s="107"/>
    </row>
    <row r="64" spans="1:12" x14ac:dyDescent="0.25">
      <c r="A64" s="275" t="s">
        <v>17</v>
      </c>
      <c r="B64" s="4"/>
      <c r="C64" s="11">
        <f>'MSF By Card'!C63-'COA by Card'!C58</f>
        <v>427.79368246037626</v>
      </c>
      <c r="D64" s="11">
        <f>'MSF By Card'!D63-'COA by Card'!D58</f>
        <v>14657.429037266589</v>
      </c>
      <c r="E64" s="11">
        <f>'MSF By Card'!E63-'COA by Card'!E58</f>
        <v>1474.3237442854377</v>
      </c>
      <c r="F64" s="11">
        <f>'MSF By Card'!F63-'COA by Card'!F58</f>
        <v>8538.1567489155623</v>
      </c>
      <c r="G64" s="11">
        <f>'MSF By Card'!G63-'COA by Card'!G58</f>
        <v>5102.8726126340925</v>
      </c>
      <c r="H64" s="11">
        <f>'MSF By Card'!H63-'COA by Card'!H58</f>
        <v>1896.1313335059942</v>
      </c>
      <c r="I64" s="11">
        <f>'MSF By Card'!I63-'COA by Card'!I58</f>
        <v>139.26179726345083</v>
      </c>
      <c r="J64" s="11">
        <f>'MSF By Card'!J63-'COA by Card'!J58</f>
        <v>226.94922548667063</v>
      </c>
      <c r="K64" s="77">
        <f>SUM(B64:J64)</f>
        <v>32462.918181818175</v>
      </c>
      <c r="L64" s="79">
        <f>K64/$K$34</f>
        <v>3.3462763406128047E-2</v>
      </c>
    </row>
    <row r="65" spans="1:12" x14ac:dyDescent="0.25">
      <c r="A65" s="9" t="s">
        <v>64</v>
      </c>
      <c r="C65" s="12">
        <f>C64/'MSF By Card'!C63</f>
        <v>0.99973029680563796</v>
      </c>
      <c r="D65" s="12">
        <f>D64/'MSF By Card'!D63</f>
        <v>0.99999205751882403</v>
      </c>
      <c r="E65" s="12">
        <f>E64/'MSF By Card'!E63</f>
        <v>0.99997910870950091</v>
      </c>
      <c r="F65" s="12">
        <f>F64/'MSF By Card'!F63</f>
        <v>0.99997789904017187</v>
      </c>
      <c r="G65" s="12">
        <f>G64/'MSF By Card'!G63</f>
        <v>0.99993584665192248</v>
      </c>
      <c r="H65" s="12">
        <f>H64/'MSF By Card'!H63</f>
        <v>0.99997816983329757</v>
      </c>
      <c r="I65" s="12">
        <f>I64/'MSF By Card'!I63</f>
        <v>0.99933444445036113</v>
      </c>
      <c r="J65" s="12">
        <f>J64/'MSF By Card'!J63</f>
        <v>0.99961619298205195</v>
      </c>
      <c r="K65" s="12">
        <f>K64/'MSF By Card'!K63</f>
        <v>0.99996919657096239</v>
      </c>
      <c r="L65" s="12"/>
    </row>
    <row r="66" spans="1:12" x14ac:dyDescent="0.25">
      <c r="A66" s="105" t="s">
        <v>63</v>
      </c>
      <c r="B66" s="103"/>
      <c r="C66" s="104">
        <f>C64/$K$7</f>
        <v>2.1701151878182424E-2</v>
      </c>
      <c r="D66" s="104">
        <f t="shared" ref="D66:J66" si="13">D64/$K$7</f>
        <v>0.74354322357452163</v>
      </c>
      <c r="E66" s="104">
        <f t="shared" si="13"/>
        <v>7.4789611918386179E-2</v>
      </c>
      <c r="F66" s="104">
        <f t="shared" si="13"/>
        <v>0.43312429323943302</v>
      </c>
      <c r="G66" s="104">
        <f t="shared" si="13"/>
        <v>0.25885892691285117</v>
      </c>
      <c r="H66" s="104">
        <f t="shared" si="13"/>
        <v>9.6187100783577936E-2</v>
      </c>
      <c r="I66" s="104">
        <f t="shared" si="13"/>
        <v>7.0644835049024296E-3</v>
      </c>
      <c r="J66" s="104">
        <f t="shared" si="13"/>
        <v>1.1512698323632409E-2</v>
      </c>
      <c r="K66" s="104">
        <f>SUM(C66:J66)</f>
        <v>1.6467814901354874</v>
      </c>
      <c r="L66" s="104"/>
    </row>
    <row r="67" spans="1:12" x14ac:dyDescent="0.25">
      <c r="A67" s="667" t="s">
        <v>18</v>
      </c>
      <c r="B67" s="4">
        <v>2.7272727272727268E-2</v>
      </c>
      <c r="C67" s="11">
        <f>'MSF By Card'!C65-'COA by Card'!C61</f>
        <v>52869.518181818159</v>
      </c>
      <c r="D67" s="11">
        <f>'MSF By Card'!D65-'COA by Card'!D61</f>
        <v>205803.26363636358</v>
      </c>
      <c r="E67" s="11">
        <f>'MSF By Card'!E65-'COA by Card'!E61</f>
        <v>29898.272727272717</v>
      </c>
      <c r="F67" s="11">
        <f>'MSF By Card'!F65-'COA by Card'!F61</f>
        <v>149555.40000000002</v>
      </c>
      <c r="G67" s="11">
        <f>'MSF By Card'!G65-'COA by Card'!G61</f>
        <v>205522.40000000005</v>
      </c>
      <c r="H67" s="11">
        <f>'MSF By Card'!H65-'COA by Card'!H61</f>
        <v>47205.909090909074</v>
      </c>
      <c r="I67" s="11">
        <f>'MSF By Card'!I65-'COA by Card'!I61</f>
        <v>18329.754545454529</v>
      </c>
      <c r="J67" s="11">
        <f>'MSF By Card'!J65-'COA by Card'!J61</f>
        <v>15291.854545454538</v>
      </c>
      <c r="K67" s="77">
        <f>SUM(B67:J67)</f>
        <v>724476.39999999991</v>
      </c>
      <c r="L67" s="78">
        <f>K67/$K$34</f>
        <v>0.74678999068239615</v>
      </c>
    </row>
    <row r="68" spans="1:12" x14ac:dyDescent="0.25">
      <c r="A68" s="9" t="s">
        <v>64</v>
      </c>
      <c r="C68" s="12">
        <f>C67/'MSF By Card'!C65</f>
        <v>1</v>
      </c>
      <c r="D68" s="12">
        <f>D67/'MSF By Card'!D65</f>
        <v>1</v>
      </c>
      <c r="E68" s="12">
        <f>E67/'MSF By Card'!E65</f>
        <v>1</v>
      </c>
      <c r="F68" s="12">
        <f>F67/'MSF By Card'!F65</f>
        <v>1</v>
      </c>
      <c r="G68" s="12">
        <f>G67/'MSF By Card'!G65</f>
        <v>1</v>
      </c>
      <c r="H68" s="12">
        <f>H67/'MSF By Card'!H65</f>
        <v>1</v>
      </c>
      <c r="I68" s="12">
        <f>I67/'MSF By Card'!I65</f>
        <v>1</v>
      </c>
      <c r="J68" s="12">
        <f>J67/'MSF By Card'!J65</f>
        <v>1</v>
      </c>
      <c r="K68" s="12">
        <f>K67/'MSF By Card'!K65</f>
        <v>0.99999942278095344</v>
      </c>
      <c r="L68" s="12"/>
    </row>
    <row r="69" spans="1:12" x14ac:dyDescent="0.25">
      <c r="A69" s="105" t="s">
        <v>63</v>
      </c>
      <c r="B69" s="103"/>
      <c r="C69" s="104">
        <f>C67/$K$10</f>
        <v>0.15656316173470891</v>
      </c>
      <c r="D69" s="104">
        <f t="shared" ref="D69:J69" si="14">D67/$K$10</f>
        <v>0.60944776419982227</v>
      </c>
      <c r="E69" s="104">
        <f t="shared" si="14"/>
        <v>8.8538126874744633E-2</v>
      </c>
      <c r="F69" s="104">
        <f t="shared" si="14"/>
        <v>0.44288026605378572</v>
      </c>
      <c r="G69" s="104">
        <f t="shared" si="14"/>
        <v>0.60861603922033292</v>
      </c>
      <c r="H69" s="104">
        <f t="shared" si="14"/>
        <v>0.1397914456949908</v>
      </c>
      <c r="I69" s="104">
        <f t="shared" si="14"/>
        <v>5.4280130104238884E-2</v>
      </c>
      <c r="J69" s="104">
        <f t="shared" si="14"/>
        <v>4.5283959051606947E-2</v>
      </c>
      <c r="K69" s="104">
        <f>SUM(C69:J69)</f>
        <v>2.145400892934231</v>
      </c>
      <c r="L69" s="107"/>
    </row>
    <row r="70" spans="1:12" x14ac:dyDescent="0.25">
      <c r="A70" s="684" t="s">
        <v>19</v>
      </c>
      <c r="B70" s="4">
        <v>5.4545454545454536E-2</v>
      </c>
      <c r="C70" s="11" t="e">
        <f>'MSF By Card'!C67-'COA by Card'!C70</f>
        <v>#VALUE!</v>
      </c>
      <c r="D70" s="11" t="e">
        <f>'MSF By Card'!D67-'COA by Card'!D70</f>
        <v>#VALUE!</v>
      </c>
      <c r="E70" s="11" t="e">
        <f>'MSF By Card'!E67-'COA by Card'!E70</f>
        <v>#VALUE!</v>
      </c>
      <c r="F70" s="11" t="e">
        <f>'MSF By Card'!F67-'COA by Card'!F70</f>
        <v>#VALUE!</v>
      </c>
      <c r="G70" s="11" t="e">
        <f>'MSF By Card'!G67-'COA by Card'!G70</f>
        <v>#VALUE!</v>
      </c>
      <c r="H70" s="11" t="e">
        <f>'MSF By Card'!H67-'COA by Card'!H70</f>
        <v>#VALUE!</v>
      </c>
      <c r="I70" s="11" t="e">
        <f>'MSF By Card'!I67-'COA by Card'!I70</f>
        <v>#VALUE!</v>
      </c>
      <c r="J70" s="11" t="e">
        <f>'MSF By Card'!J67-'COA by Card'!J70</f>
        <v>#VALUE!</v>
      </c>
      <c r="K70" s="77" t="e">
        <f>SUM(B70:J70)</f>
        <v>#VALUE!</v>
      </c>
      <c r="L70" s="79" t="e">
        <f>K70/$K$34</f>
        <v>#VALUE!</v>
      </c>
    </row>
    <row r="71" spans="1:12" x14ac:dyDescent="0.25">
      <c r="A71" t="s">
        <v>64</v>
      </c>
      <c r="C71" s="12" t="e">
        <f>C70/'MSF By Card'!C67</f>
        <v>#VALUE!</v>
      </c>
      <c r="D71" s="12" t="e">
        <f>D70/'MSF By Card'!D67</f>
        <v>#VALUE!</v>
      </c>
      <c r="E71" s="12" t="e">
        <f>E70/'MSF By Card'!E67</f>
        <v>#VALUE!</v>
      </c>
      <c r="F71" s="12" t="e">
        <f>F70/'MSF By Card'!F67</f>
        <v>#VALUE!</v>
      </c>
      <c r="G71" s="12" t="e">
        <f>G70/'MSF By Card'!G67</f>
        <v>#VALUE!</v>
      </c>
      <c r="H71" s="12" t="e">
        <f>H70/'MSF By Card'!H67</f>
        <v>#VALUE!</v>
      </c>
      <c r="I71" s="12" t="e">
        <f>I70/'MSF By Card'!I67</f>
        <v>#VALUE!</v>
      </c>
      <c r="J71" s="12" t="e">
        <f>J70/'MSF By Card'!J67</f>
        <v>#VALUE!</v>
      </c>
      <c r="K71" s="12" t="e">
        <f>K70/'MSF By Card'!K67</f>
        <v>#VALUE!</v>
      </c>
      <c r="L71" s="12"/>
    </row>
    <row r="72" spans="1:12" x14ac:dyDescent="0.25">
      <c r="A72" s="105" t="s">
        <v>63</v>
      </c>
      <c r="B72" s="103"/>
      <c r="C72" s="104" t="e">
        <f>C70/$K$13</f>
        <v>#VALUE!</v>
      </c>
      <c r="D72" s="104" t="e">
        <f t="shared" ref="D72:J72" si="15">D70/$K$13</f>
        <v>#VALUE!</v>
      </c>
      <c r="E72" s="104" t="e">
        <f t="shared" si="15"/>
        <v>#VALUE!</v>
      </c>
      <c r="F72" s="104" t="e">
        <f t="shared" si="15"/>
        <v>#VALUE!</v>
      </c>
      <c r="G72" s="104" t="e">
        <f t="shared" si="15"/>
        <v>#VALUE!</v>
      </c>
      <c r="H72" s="104" t="e">
        <f t="shared" si="15"/>
        <v>#VALUE!</v>
      </c>
      <c r="I72" s="104" t="e">
        <f t="shared" si="15"/>
        <v>#VALUE!</v>
      </c>
      <c r="J72" s="104" t="e">
        <f t="shared" si="15"/>
        <v>#VALUE!</v>
      </c>
      <c r="K72" s="104" t="e">
        <f>SUM(C72:J72)</f>
        <v>#VALUE!</v>
      </c>
      <c r="L72" s="107"/>
    </row>
    <row r="73" spans="1:12" x14ac:dyDescent="0.25">
      <c r="A73" s="667" t="s">
        <v>20</v>
      </c>
      <c r="B73" s="4"/>
      <c r="C73" s="11">
        <f>'MSF By Card'!C69-'COA by Card'!C73</f>
        <v>133.89970813894752</v>
      </c>
      <c r="D73" s="11">
        <f>'MSF By Card'!D69-'COA by Card'!D73</f>
        <v>2159.3623747151369</v>
      </c>
      <c r="E73" s="11">
        <f>'MSF By Card'!E69-'COA by Card'!E73</f>
        <v>302.63399932117864</v>
      </c>
      <c r="F73" s="11">
        <f>'MSF By Card'!F69-'COA by Card'!F73</f>
        <v>1091.6829448946478</v>
      </c>
      <c r="G73" s="11">
        <f>'MSF By Card'!G69-'COA by Card'!G73</f>
        <v>1707.4253305928173</v>
      </c>
      <c r="H73" s="11">
        <f>'MSF By Card'!H69-'COA by Card'!H73</f>
        <v>325.06171830354617</v>
      </c>
      <c r="I73" s="11">
        <f>'MSF By Card'!I69-'COA by Card'!I73</f>
        <v>42.325765817822351</v>
      </c>
      <c r="J73" s="11">
        <f>'MSF By Card'!J69-'COA by Card'!J73</f>
        <v>43.317249124994021</v>
      </c>
      <c r="K73" s="77">
        <f>SUM(B73:J73)</f>
        <v>5805.7090909090921</v>
      </c>
      <c r="L73" s="79">
        <f>K73/$K$34</f>
        <v>5.9845226675495624E-3</v>
      </c>
    </row>
    <row r="74" spans="1:12" x14ac:dyDescent="0.25">
      <c r="A74" s="9" t="s">
        <v>64</v>
      </c>
      <c r="C74" s="12">
        <f>C73/'MSF By Card'!C69</f>
        <v>0.99918376604600978</v>
      </c>
      <c r="D74" s="12">
        <f>D73/'MSF By Card'!D69</f>
        <v>0.9999446888296647</v>
      </c>
      <c r="E74" s="12">
        <f>E73/'MSF By Card'!E69</f>
        <v>0.99990207927581354</v>
      </c>
      <c r="F74" s="12">
        <f>F73/'MSF By Card'!F69</f>
        <v>0.99982618635547971</v>
      </c>
      <c r="G74" s="12">
        <f>G73/'MSF By Card'!G69</f>
        <v>0.99981786823178986</v>
      </c>
      <c r="H74" s="12">
        <f>H73/'MSF By Card'!H69</f>
        <v>0.99988224639663514</v>
      </c>
      <c r="I74" s="12">
        <f>I73/'MSF By Card'!I69</f>
        <v>0.99760750802666787</v>
      </c>
      <c r="J74" s="12">
        <f>J73/'MSF By Card'!J69</f>
        <v>0.99767533579341361</v>
      </c>
      <c r="K74" s="12">
        <f>K73/'MSF By Card'!K69</f>
        <v>0.99982778541436412</v>
      </c>
      <c r="L74" s="12"/>
    </row>
    <row r="75" spans="1:12" x14ac:dyDescent="0.25">
      <c r="A75" s="102" t="s">
        <v>63</v>
      </c>
      <c r="B75" s="103"/>
      <c r="C75" s="104">
        <f>C73/$K$16</f>
        <v>5.1483074741620151E-2</v>
      </c>
      <c r="D75" s="104">
        <f t="shared" ref="D75:J75" si="16">D73/$K$16</f>
        <v>0.83025285175633246</v>
      </c>
      <c r="E75" s="104">
        <f t="shared" si="16"/>
        <v>0.11635969206325508</v>
      </c>
      <c r="F75" s="104">
        <f t="shared" si="16"/>
        <v>0.41974097947876915</v>
      </c>
      <c r="G75" s="104">
        <f t="shared" si="16"/>
        <v>0.65648765880376814</v>
      </c>
      <c r="H75" s="104">
        <f t="shared" si="16"/>
        <v>0.12498292170805091</v>
      </c>
      <c r="I75" s="104">
        <f t="shared" si="16"/>
        <v>1.6273826100009506E-2</v>
      </c>
      <c r="J75" s="104">
        <f t="shared" si="16"/>
        <v>1.6655041338770289E-2</v>
      </c>
      <c r="K75" s="104">
        <f>SUM(C75:J75)</f>
        <v>2.2322360459905761</v>
      </c>
      <c r="L75" s="107"/>
    </row>
    <row r="76" spans="1:12" x14ac:dyDescent="0.25">
      <c r="A76" s="275" t="s">
        <v>21</v>
      </c>
      <c r="B76" s="4"/>
      <c r="C76" s="11">
        <f>'MSF By Card'!C71-'COA by Card'!C76</f>
        <v>2323.2788569668178</v>
      </c>
      <c r="D76" s="11">
        <f>'MSF By Card'!D71-'COA by Card'!D76</f>
        <v>36657.806720258777</v>
      </c>
      <c r="E76" s="11">
        <f>'MSF By Card'!E71-'COA by Card'!E76</f>
        <v>3841.1218597700981</v>
      </c>
      <c r="F76" s="11">
        <f>'MSF By Card'!F71-'COA by Card'!F76</f>
        <v>19450.158455039473</v>
      </c>
      <c r="G76" s="11">
        <f>'MSF By Card'!G71-'COA by Card'!G76</f>
        <v>20250.60738791565</v>
      </c>
      <c r="H76" s="11">
        <f>'MSF By Card'!H71-'COA by Card'!H76</f>
        <v>5264.8260090943486</v>
      </c>
      <c r="I76" s="11">
        <f>'MSF By Card'!I71-'COA by Card'!I76</f>
        <v>1045.5931797987278</v>
      </c>
      <c r="J76" s="11">
        <f>'MSF By Card'!J71-'COA by Card'!J76</f>
        <v>1162.1620766106419</v>
      </c>
      <c r="K76" s="77">
        <f>SUM(B76:J76)</f>
        <v>89995.554545454535</v>
      </c>
      <c r="L76" s="78">
        <f>K76/$K$34</f>
        <v>9.2767382540628066E-2</v>
      </c>
    </row>
    <row r="77" spans="1:12" x14ac:dyDescent="0.25">
      <c r="A77" s="9" t="s">
        <v>64</v>
      </c>
      <c r="C77" s="12">
        <f>C76/'MSF By Card'!C71</f>
        <v>0.99998307384168383</v>
      </c>
      <c r="D77" s="12">
        <f>D76/'MSF By Card'!D71</f>
        <v>0.99999423150596012</v>
      </c>
      <c r="E77" s="12">
        <f>E76/'MSF By Card'!E71</f>
        <v>0.99998675729881459</v>
      </c>
      <c r="F77" s="12">
        <f>F76/'MSF By Card'!F71</f>
        <v>0.99998477719816825</v>
      </c>
      <c r="G77" s="12">
        <f>G76/'MSF By Card'!G71</f>
        <v>0.99998599957026457</v>
      </c>
      <c r="H77" s="12">
        <f>H76/'MSF By Card'!H71</f>
        <v>0.99998939974544676</v>
      </c>
      <c r="I77" s="12">
        <f>I76/'MSF By Card'!I71</f>
        <v>0.99997608876749766</v>
      </c>
      <c r="J77" s="12">
        <f>J76/'MSF By Card'!J71</f>
        <v>0.99996736930876118</v>
      </c>
      <c r="K77" s="12">
        <f>K76/'MSF By Card'!K71</f>
        <v>0.99998888846350797</v>
      </c>
      <c r="L77" s="12"/>
    </row>
    <row r="78" spans="1:12" x14ac:dyDescent="0.25">
      <c r="A78" s="105" t="s">
        <v>63</v>
      </c>
      <c r="B78" s="103"/>
      <c r="C78" s="104">
        <f>C76/$K$19</f>
        <v>4.6691785255836088E-2</v>
      </c>
      <c r="D78" s="104">
        <f t="shared" ref="D78:J78" si="17">D76/$K$19</f>
        <v>0.73672535442727272</v>
      </c>
      <c r="E78" s="104">
        <f t="shared" si="17"/>
        <v>7.7196431448626882E-2</v>
      </c>
      <c r="F78" s="104">
        <f t="shared" si="17"/>
        <v>0.39089695111345757</v>
      </c>
      <c r="G78" s="104">
        <f t="shared" si="17"/>
        <v>0.40698386619471999</v>
      </c>
      <c r="H78" s="104">
        <f t="shared" si="17"/>
        <v>0.1058091346584681</v>
      </c>
      <c r="I78" s="104">
        <f t="shared" si="17"/>
        <v>2.1013668707796574E-2</v>
      </c>
      <c r="J78" s="104">
        <f t="shared" si="17"/>
        <v>2.3356396478563416E-2</v>
      </c>
      <c r="K78" s="104">
        <f>SUM(C78:J78)</f>
        <v>1.8086735882847416</v>
      </c>
      <c r="L78" s="107"/>
    </row>
    <row r="79" spans="1:12" x14ac:dyDescent="0.25">
      <c r="A79" s="667" t="s">
        <v>22</v>
      </c>
      <c r="B79" s="4"/>
      <c r="C79" s="11">
        <f>'MSF By Card'!C73-'COA by Card'!C79</f>
        <v>1060.2765280136723</v>
      </c>
      <c r="D79" s="11">
        <f>'MSF By Card'!D73-'COA by Card'!D79</f>
        <v>10445.041724635834</v>
      </c>
      <c r="E79" s="11">
        <f>'MSF By Card'!E73-'COA by Card'!E79</f>
        <v>1230.8979802168917</v>
      </c>
      <c r="F79" s="11">
        <f>'MSF By Card'!F73-'COA by Card'!F79</f>
        <v>6441.8996131529493</v>
      </c>
      <c r="G79" s="11">
        <f>'MSF By Card'!G73-'COA by Card'!G79</f>
        <v>8646.255510549101</v>
      </c>
      <c r="H79" s="11">
        <f>'MSF By Card'!H73-'COA by Card'!H79</f>
        <v>1821.3314359502833</v>
      </c>
      <c r="I79" s="11">
        <f>'MSF By Card'!I73-'COA by Card'!I79</f>
        <v>565.45844637150401</v>
      </c>
      <c r="J79" s="11">
        <f>'MSF By Card'!J73-'COA by Card'!J79</f>
        <v>585.57512474612633</v>
      </c>
      <c r="K79" s="77">
        <f>SUM(B79:J79)</f>
        <v>30796.736363636363</v>
      </c>
      <c r="L79" s="78">
        <f>K79/$K$34</f>
        <v>3.1745263837508322E-2</v>
      </c>
    </row>
    <row r="80" spans="1:12" x14ac:dyDescent="0.25">
      <c r="A80" s="9" t="s">
        <v>64</v>
      </c>
      <c r="C80" s="12">
        <f>C79/'MSF By Card'!C73</f>
        <v>0.99985784530681432</v>
      </c>
      <c r="D80" s="12">
        <f>D79/'MSF By Card'!D73</f>
        <v>0.99999180976074253</v>
      </c>
      <c r="E80" s="12">
        <f>E79/'MSF By Card'!E73</f>
        <v>0.99997620289108069</v>
      </c>
      <c r="F80" s="12">
        <f>F79/'MSF By Card'!F73</f>
        <v>0.99997594986187976</v>
      </c>
      <c r="G80" s="12">
        <f>G79/'MSF By Card'!G73</f>
        <v>0.99995805628727275</v>
      </c>
      <c r="H80" s="12">
        <f>H79/'MSF By Card'!H73</f>
        <v>0.9999773295592792</v>
      </c>
      <c r="I80" s="12">
        <f>I79/'MSF By Card'!I73</f>
        <v>0.99983007990332073</v>
      </c>
      <c r="J80" s="12">
        <f>J79/'MSF By Card'!J73</f>
        <v>0.9998643898369175</v>
      </c>
      <c r="K80" s="12">
        <f>K79/'MSF By Card'!K73</f>
        <v>0.9999675300811659</v>
      </c>
      <c r="L80" s="12"/>
    </row>
    <row r="81" spans="1:12" x14ac:dyDescent="0.25">
      <c r="A81" s="105" t="s">
        <v>63</v>
      </c>
      <c r="B81" s="103"/>
      <c r="C81" s="104">
        <f>C79/$K$22</f>
        <v>6.7318433566620331E-2</v>
      </c>
      <c r="D81" s="104">
        <f t="shared" ref="D81:J81" si="18">D79/$K$22</f>
        <v>0.66317024744266306</v>
      </c>
      <c r="E81" s="104">
        <f t="shared" si="18"/>
        <v>7.8151427216588784E-2</v>
      </c>
      <c r="F81" s="104">
        <f t="shared" si="18"/>
        <v>0.40900517901994143</v>
      </c>
      <c r="G81" s="104">
        <f t="shared" si="18"/>
        <v>0.54896280527622787</v>
      </c>
      <c r="H81" s="104">
        <f t="shared" si="18"/>
        <v>0.11563886970459776</v>
      </c>
      <c r="I81" s="104">
        <f t="shared" si="18"/>
        <v>3.590174435725467E-2</v>
      </c>
      <c r="J81" s="104">
        <f t="shared" si="18"/>
        <v>3.7178980286715541E-2</v>
      </c>
      <c r="K81" s="104">
        <f>SUM(C81:J81)</f>
        <v>1.9553276868706095</v>
      </c>
      <c r="L81" s="107"/>
    </row>
    <row r="82" spans="1:12" x14ac:dyDescent="0.25">
      <c r="A82" s="275" t="s">
        <v>23</v>
      </c>
      <c r="B82" s="4">
        <v>0.21818181818181814</v>
      </c>
      <c r="C82" s="11">
        <f>'MSF By Card'!C75-'COA by Card'!C82</f>
        <v>3100.5442040489879</v>
      </c>
      <c r="D82" s="11">
        <f>'MSF By Card'!D75-'COA by Card'!D82</f>
        <v>44542.000508361321</v>
      </c>
      <c r="E82" s="11">
        <f>'MSF By Card'!E75-'COA by Card'!E82</f>
        <v>5266.7776783238123</v>
      </c>
      <c r="F82" s="11">
        <f>'MSF By Card'!F75-'COA by Card'!F82</f>
        <v>33480.598296498167</v>
      </c>
      <c r="G82" s="11">
        <f>'MSF By Card'!G75-'COA by Card'!G82</f>
        <v>27416.389038388526</v>
      </c>
      <c r="H82" s="11">
        <f>'MSF By Card'!H75-'COA by Card'!H82</f>
        <v>7882.114707802778</v>
      </c>
      <c r="I82" s="11">
        <f>'MSF By Card'!I75-'COA by Card'!I82</f>
        <v>1597.4783352144607</v>
      </c>
      <c r="J82" s="11">
        <f>'MSF By Card'!J75-'COA by Card'!J82</f>
        <v>1700.0154131801257</v>
      </c>
      <c r="K82" s="77">
        <f>SUM(B82:J82)</f>
        <v>124986.13636363637</v>
      </c>
      <c r="L82" s="78">
        <f>K82/$K$34</f>
        <v>0.12883566063770843</v>
      </c>
    </row>
    <row r="83" spans="1:12" x14ac:dyDescent="0.25">
      <c r="A83" s="9" t="s">
        <v>64</v>
      </c>
      <c r="C83" s="12">
        <f>C82/'MSF By Card'!C75</f>
        <v>0.99997907286658794</v>
      </c>
      <c r="D83" s="12">
        <f>D82/'MSF By Card'!D75</f>
        <v>0.9999967458643344</v>
      </c>
      <c r="E83" s="12">
        <f>E82/'MSF By Card'!E75</f>
        <v>0.99999403574636292</v>
      </c>
      <c r="F83" s="12">
        <f>F82/'MSF By Card'!F75</f>
        <v>0.99999288945068165</v>
      </c>
      <c r="G83" s="12">
        <f>G82/'MSF By Card'!G75</f>
        <v>0.99998865794893377</v>
      </c>
      <c r="H83" s="12">
        <f>H82/'MSF By Card'!H75</f>
        <v>0.99999494584234072</v>
      </c>
      <c r="I83" s="12">
        <f>I82/'MSF By Card'!I75</f>
        <v>0.99994660547646852</v>
      </c>
      <c r="J83" s="12">
        <f>J82/'MSF By Card'!J75</f>
        <v>0.99995024597383964</v>
      </c>
      <c r="K83" s="12">
        <f>K82/'MSF By Card'!K75</f>
        <v>1.0000110558938715</v>
      </c>
      <c r="L83" s="12"/>
    </row>
    <row r="84" spans="1:12" x14ac:dyDescent="0.25">
      <c r="A84" s="105" t="s">
        <v>63</v>
      </c>
      <c r="B84" s="103"/>
      <c r="C84" s="104">
        <f>C82/$K$25</f>
        <v>6.037603818519334E-2</v>
      </c>
      <c r="D84" s="104">
        <f t="shared" ref="D84:J84" si="19">D82/$K$25</f>
        <v>0.86735403418077972</v>
      </c>
      <c r="E84" s="104">
        <f t="shared" si="19"/>
        <v>0.10255850240875272</v>
      </c>
      <c r="F84" s="104">
        <f t="shared" si="19"/>
        <v>0.65195841380771824</v>
      </c>
      <c r="G84" s="104">
        <f t="shared" si="19"/>
        <v>0.53387174719851482</v>
      </c>
      <c r="H84" s="104">
        <f t="shared" si="19"/>
        <v>0.15348623572497713</v>
      </c>
      <c r="I84" s="104">
        <f t="shared" si="19"/>
        <v>3.1107252991579501E-2</v>
      </c>
      <c r="J84" s="104">
        <f t="shared" si="19"/>
        <v>3.3103929099782901E-2</v>
      </c>
      <c r="K84" s="104">
        <f>SUM(C84:J84)</f>
        <v>2.4338161535972986</v>
      </c>
      <c r="L84" s="107"/>
    </row>
    <row r="85" spans="1:12" x14ac:dyDescent="0.25">
      <c r="A85" s="275" t="s">
        <v>24</v>
      </c>
      <c r="B85" s="4"/>
      <c r="C85" s="11">
        <f>'MSF By Card'!C77-'COA by Card'!C85</f>
        <v>68.515363570007864</v>
      </c>
      <c r="D85" s="11">
        <f>'MSF By Card'!D77-'COA by Card'!D85</f>
        <v>2587.0751580486412</v>
      </c>
      <c r="E85" s="11">
        <f>'MSF By Card'!E77-'COA by Card'!E85</f>
        <v>276.00462125323907</v>
      </c>
      <c r="F85" s="11">
        <f>'MSF By Card'!F77-'COA by Card'!F85</f>
        <v>1277.4470576892429</v>
      </c>
      <c r="G85" s="11">
        <f>'MSF By Card'!G77-'COA by Card'!G85</f>
        <v>1154.4255688021306</v>
      </c>
      <c r="H85" s="11">
        <f>'MSF By Card'!H77-'COA by Card'!H85</f>
        <v>331.27945404523416</v>
      </c>
      <c r="I85" s="11">
        <f>'MSF By Card'!I77-'COA by Card'!I85</f>
        <v>15.711354491178936</v>
      </c>
      <c r="J85" s="11">
        <f>'MSF By Card'!J77-'COA by Card'!J85</f>
        <v>7.9232402821424168</v>
      </c>
      <c r="K85" s="77">
        <f>SUM(B85:J85)</f>
        <v>5718.3818181818169</v>
      </c>
      <c r="L85" s="78">
        <f>K85/$K$34</f>
        <v>5.8945057488668821E-3</v>
      </c>
    </row>
    <row r="86" spans="1:12" x14ac:dyDescent="0.25">
      <c r="A86" s="9" t="s">
        <v>64</v>
      </c>
      <c r="C86" s="12">
        <f>C85/'MSF By Card'!C77</f>
        <v>0.9991634618455344</v>
      </c>
      <c r="D86" s="12">
        <f>D85/'MSF By Card'!D77</f>
        <v>0.99994823268791067</v>
      </c>
      <c r="E86" s="12">
        <f>E85/'MSF By Card'!E77</f>
        <v>0.99981915095357643</v>
      </c>
      <c r="F86" s="12">
        <f>F85/'MSF By Card'!F77</f>
        <v>0.99986606003939671</v>
      </c>
      <c r="G86" s="12">
        <f>G85/'MSF By Card'!G77</f>
        <v>0.99958920149115171</v>
      </c>
      <c r="H86" s="12">
        <f>H85/'MSF By Card'!H77</f>
        <v>0.99985567538209308</v>
      </c>
      <c r="I86" s="12">
        <f>I85/'MSF By Card'!I77</f>
        <v>0.99783429216494401</v>
      </c>
      <c r="J86" s="12">
        <f>J85/'MSF By Card'!J77</f>
        <v>0.99606449261218954</v>
      </c>
      <c r="K86" s="12">
        <f>K85/'MSF By Card'!K77</f>
        <v>0.99982515592912125</v>
      </c>
      <c r="L86" s="12"/>
    </row>
    <row r="87" spans="1:12" x14ac:dyDescent="0.25">
      <c r="A87" s="102" t="s">
        <v>63</v>
      </c>
      <c r="B87" s="103"/>
      <c r="C87" s="104">
        <f>C85/$K$28</f>
        <v>1.9425399974794828E-2</v>
      </c>
      <c r="D87" s="104">
        <f t="shared" ref="D87:J87" si="20">D85/$K$28</f>
        <v>0.73348468272522127</v>
      </c>
      <c r="E87" s="104">
        <f t="shared" si="20"/>
        <v>7.825252444669048E-2</v>
      </c>
      <c r="F87" s="104">
        <f t="shared" si="20"/>
        <v>0.36218037457953312</v>
      </c>
      <c r="G87" s="104">
        <f t="shared" si="20"/>
        <v>0.32730145833930713</v>
      </c>
      <c r="H87" s="104">
        <f t="shared" si="20"/>
        <v>9.3923983803791952E-2</v>
      </c>
      <c r="I87" s="104">
        <f t="shared" si="20"/>
        <v>4.4544658195543587E-3</v>
      </c>
      <c r="J87" s="104">
        <f t="shared" si="20"/>
        <v>2.2463883070511304E-3</v>
      </c>
      <c r="K87" s="104">
        <f>SUM(C87:J87)</f>
        <v>1.6212692779959446</v>
      </c>
      <c r="L87" s="107"/>
    </row>
    <row r="88" spans="1:12" x14ac:dyDescent="0.25">
      <c r="A88" s="275" t="s">
        <v>25</v>
      </c>
      <c r="B88" s="4"/>
      <c r="C88" s="11">
        <f>'MSF By Card'!C79-'COA by Card'!C88</f>
        <v>2236.0607968218092</v>
      </c>
      <c r="D88" s="11">
        <f>'MSF By Card'!D79-'COA by Card'!D88</f>
        <v>-0.1770898180586444</v>
      </c>
      <c r="E88" s="11">
        <f>'MSF By Card'!E79-'COA by Card'!E88</f>
        <v>369.04200585147726</v>
      </c>
      <c r="F88" s="11">
        <f>'MSF By Card'!F79-'COA by Card'!F88</f>
        <v>4186.5226146642908</v>
      </c>
      <c r="G88" s="11">
        <f>'MSF By Card'!G79-'COA by Card'!G88</f>
        <v>1265.5570224899905</v>
      </c>
      <c r="H88" s="11">
        <f>'MSF By Card'!H79-'COA by Card'!H88</f>
        <v>712.47819073449898</v>
      </c>
      <c r="I88" s="11">
        <f>'MSF By Card'!I79-'COA by Card'!I88</f>
        <v>1479.5560326536111</v>
      </c>
      <c r="J88" s="11">
        <f>'MSF By Card'!J79-'COA by Card'!J88</f>
        <v>1767.3876993296535</v>
      </c>
      <c r="K88" s="77">
        <f>SUM(B88:J88)</f>
        <v>12016.427272727273</v>
      </c>
      <c r="L88" s="78">
        <f>K88/$K$34</f>
        <v>1.2386528548115151E-2</v>
      </c>
    </row>
    <row r="89" spans="1:12" x14ac:dyDescent="0.25">
      <c r="A89" s="9" t="s">
        <v>64</v>
      </c>
      <c r="C89" s="12">
        <f>C88/'MSF By Card'!C79</f>
        <v>0.99997027185962351</v>
      </c>
      <c r="D89" s="12" t="e">
        <f>D88/'MSF By Card'!D79</f>
        <v>#DIV/0!</v>
      </c>
      <c r="E89" s="12">
        <f>E88/'MSF By Card'!E79</f>
        <v>0.99989213142349553</v>
      </c>
      <c r="F89" s="12">
        <f>F88/'MSF By Card'!F79</f>
        <v>0.9999489461591301</v>
      </c>
      <c r="G89" s="12">
        <f>G88/'MSF By Card'!G79</f>
        <v>0.99972906429417041</v>
      </c>
      <c r="H89" s="12">
        <f>H88/'MSF By Card'!H79</f>
        <v>0.9999311156293208</v>
      </c>
      <c r="I89" s="12">
        <f>I88/'MSF By Card'!I79</f>
        <v>0.99996414035585124</v>
      </c>
      <c r="J89" s="12">
        <f>J88/'MSF By Card'!J79</f>
        <v>0.99996732277329869</v>
      </c>
      <c r="K89" s="12">
        <f>K88/'MSF By Card'!K79</f>
        <v>0.99978140770413049</v>
      </c>
      <c r="L89" s="12"/>
    </row>
    <row r="90" spans="1:12" x14ac:dyDescent="0.25">
      <c r="A90" s="102" t="s">
        <v>63</v>
      </c>
      <c r="B90" s="103"/>
      <c r="C90" s="107">
        <f>C88/$K$31</f>
        <v>1.2237051229960316</v>
      </c>
      <c r="D90" s="107">
        <f t="shared" ref="D90:J90" si="21">D88/$K$31</f>
        <v>-9.6914054348079288E-5</v>
      </c>
      <c r="E90" s="107">
        <f t="shared" si="21"/>
        <v>0.20196167912923341</v>
      </c>
      <c r="F90" s="107">
        <f t="shared" si="21"/>
        <v>2.2911135414497807</v>
      </c>
      <c r="G90" s="107">
        <f t="shared" si="21"/>
        <v>0.69258788225516121</v>
      </c>
      <c r="H90" s="107">
        <f t="shared" si="21"/>
        <v>0.38991033395154528</v>
      </c>
      <c r="I90" s="107">
        <f t="shared" si="21"/>
        <v>0.80970083617193744</v>
      </c>
      <c r="J90" s="107">
        <f t="shared" si="21"/>
        <v>0.96721939987672734</v>
      </c>
      <c r="K90" s="107">
        <f>SUM(C90:J90)</f>
        <v>6.5761018817760686</v>
      </c>
      <c r="L90" s="107"/>
    </row>
    <row r="91" spans="1:12" x14ac:dyDescent="0.25">
      <c r="A91" s="83" t="s">
        <v>10</v>
      </c>
      <c r="B91" s="29">
        <v>1.227272727272728</v>
      </c>
      <c r="C91" s="94" t="e">
        <f>SUM(C61,C64,C67,C70,C73,C76,C79,C82,C85,C88)</f>
        <v>#VALUE!</v>
      </c>
      <c r="D91" s="84" t="e">
        <f t="shared" ref="D91:K91" si="22">SUM(D61,D64,D67,D70,D73,D76,D79,D82,D85,D88)</f>
        <v>#VALUE!</v>
      </c>
      <c r="E91" s="86" t="e">
        <f t="shared" si="22"/>
        <v>#VALUE!</v>
      </c>
      <c r="F91" s="84" t="e">
        <f t="shared" si="22"/>
        <v>#VALUE!</v>
      </c>
      <c r="G91" s="86" t="e">
        <f t="shared" si="22"/>
        <v>#VALUE!</v>
      </c>
      <c r="H91" s="84" t="e">
        <f t="shared" si="22"/>
        <v>#VALUE!</v>
      </c>
      <c r="I91" s="84" t="e">
        <f t="shared" si="22"/>
        <v>#VALUE!</v>
      </c>
      <c r="J91" s="84" t="e">
        <f t="shared" si="22"/>
        <v>#VALUE!</v>
      </c>
      <c r="K91" s="84" t="e">
        <f t="shared" si="22"/>
        <v>#VALUE!</v>
      </c>
      <c r="L91" s="64" t="e">
        <f>K91/$K$34</f>
        <v>#VALUE!</v>
      </c>
    </row>
    <row r="92" spans="1:12" x14ac:dyDescent="0.25">
      <c r="A92" s="88" t="s">
        <v>64</v>
      </c>
      <c r="B92" s="29"/>
      <c r="C92" s="85" t="e">
        <f>C91/'MSF By Card'!C81</f>
        <v>#VALUE!</v>
      </c>
      <c r="D92" s="85" t="e">
        <f>D91/'MSF By Card'!D81</f>
        <v>#VALUE!</v>
      </c>
      <c r="E92" s="85" t="e">
        <f>E91/'MSF By Card'!E81</f>
        <v>#VALUE!</v>
      </c>
      <c r="F92" s="85" t="e">
        <f>F91/'MSF By Card'!F81</f>
        <v>#VALUE!</v>
      </c>
      <c r="G92" s="87" t="e">
        <f>G91/'MSF By Card'!G81</f>
        <v>#VALUE!</v>
      </c>
      <c r="H92" s="85" t="e">
        <f>H91/'MSF By Card'!H81</f>
        <v>#VALUE!</v>
      </c>
      <c r="I92" s="85" t="e">
        <f>I91/'MSF By Card'!I81</f>
        <v>#VALUE!</v>
      </c>
      <c r="J92" s="87" t="e">
        <f>J91/'MSF By Card'!J81</f>
        <v>#VALUE!</v>
      </c>
      <c r="K92" s="85" t="e">
        <f>K91/'MSF By Card'!K81</f>
        <v>#VALUE!</v>
      </c>
      <c r="L92" s="75"/>
    </row>
    <row r="93" spans="1:12" x14ac:dyDescent="0.25">
      <c r="A93" s="111" t="s">
        <v>63</v>
      </c>
      <c r="B93" s="112"/>
      <c r="C93" s="113" t="e">
        <f>C91/$K$34</f>
        <v>#VALUE!</v>
      </c>
      <c r="D93" s="114" t="e">
        <f t="shared" ref="D93:J93" si="23">D91/$K$34</f>
        <v>#VALUE!</v>
      </c>
      <c r="E93" s="113" t="e">
        <f t="shared" si="23"/>
        <v>#VALUE!</v>
      </c>
      <c r="F93" s="113" t="e">
        <f t="shared" si="23"/>
        <v>#VALUE!</v>
      </c>
      <c r="G93" s="113" t="e">
        <f t="shared" si="23"/>
        <v>#VALUE!</v>
      </c>
      <c r="H93" s="113" t="e">
        <f t="shared" si="23"/>
        <v>#VALUE!</v>
      </c>
      <c r="I93" s="113" t="e">
        <f t="shared" si="23"/>
        <v>#VALUE!</v>
      </c>
      <c r="J93" s="113" t="e">
        <f t="shared" si="23"/>
        <v>#VALUE!</v>
      </c>
      <c r="K93" s="113" t="e">
        <f>SUM(C93:J93)</f>
        <v>#VALUE!</v>
      </c>
      <c r="L93" s="115"/>
    </row>
  </sheetData>
  <mergeCells count="4">
    <mergeCell ref="A1:L1"/>
    <mergeCell ref="A43:L43"/>
    <mergeCell ref="A58:L58"/>
    <mergeCell ref="A51:L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E805-FC92-4283-B015-42340BD4BCCA}">
  <sheetPr codeName="Sheet7"/>
  <dimension ref="A1:AD53"/>
  <sheetViews>
    <sheetView showGridLines="0" topLeftCell="K1" workbookViewId="0">
      <selection activeCell="E14" sqref="E14"/>
    </sheetView>
  </sheetViews>
  <sheetFormatPr defaultRowHeight="15" x14ac:dyDescent="0.25"/>
  <cols>
    <col min="1" max="1" width="17.5703125" customWidth="1"/>
    <col min="2" max="2" width="14" bestFit="1" customWidth="1"/>
    <col min="3" max="3" width="8" bestFit="1" customWidth="1"/>
    <col min="4" max="4" width="12.7109375" bestFit="1" customWidth="1"/>
    <col min="5" max="5" width="11.5703125" bestFit="1" customWidth="1"/>
    <col min="6" max="6" width="11.140625" bestFit="1" customWidth="1"/>
    <col min="7" max="8" width="10" customWidth="1"/>
    <col min="9" max="9" width="10" bestFit="1" customWidth="1"/>
    <col min="10" max="10" width="12" customWidth="1"/>
    <col min="11" max="12" width="9.5703125" bestFit="1" customWidth="1"/>
    <col min="16" max="16" width="18" customWidth="1"/>
    <col min="17" max="17" width="13.28515625" bestFit="1" customWidth="1"/>
    <col min="18" max="18" width="7.5703125" bestFit="1" customWidth="1"/>
    <col min="19" max="19" width="10.28515625" customWidth="1"/>
    <col min="20" max="20" width="9" customWidth="1"/>
    <col min="21" max="21" width="8.85546875" bestFit="1" customWidth="1"/>
    <col min="22" max="23" width="10" customWidth="1"/>
    <col min="24" max="24" width="10" bestFit="1" customWidth="1"/>
    <col min="25" max="25" width="10" customWidth="1"/>
    <col min="27" max="27" width="9.42578125" customWidth="1"/>
  </cols>
  <sheetData>
    <row r="1" spans="1:30" x14ac:dyDescent="0.25">
      <c r="A1" s="276" t="s">
        <v>83</v>
      </c>
      <c r="D1">
        <f>13/12</f>
        <v>1.0833333333333333</v>
      </c>
    </row>
    <row r="3" spans="1:30" ht="31.5" customHeight="1" x14ac:dyDescent="0.25">
      <c r="A3" s="698" t="s">
        <v>12</v>
      </c>
      <c r="B3" s="150" t="s">
        <v>84</v>
      </c>
      <c r="C3" s="150" t="s">
        <v>85</v>
      </c>
      <c r="D3" s="150" t="s">
        <v>86</v>
      </c>
      <c r="E3" s="150" t="s">
        <v>87</v>
      </c>
      <c r="F3" s="150" t="s">
        <v>88</v>
      </c>
      <c r="G3" s="699" t="s">
        <v>89</v>
      </c>
      <c r="H3" s="699" t="s">
        <v>90</v>
      </c>
      <c r="I3" s="699" t="s">
        <v>91</v>
      </c>
      <c r="J3" s="699" t="s">
        <v>92</v>
      </c>
      <c r="K3" s="700" t="s">
        <v>93</v>
      </c>
      <c r="L3" s="699" t="s">
        <v>94</v>
      </c>
      <c r="P3" s="701" t="s">
        <v>12</v>
      </c>
      <c r="Q3" s="150" t="s">
        <v>84</v>
      </c>
      <c r="R3" s="150" t="s">
        <v>85</v>
      </c>
      <c r="S3" s="150" t="s">
        <v>95</v>
      </c>
      <c r="T3" s="150" t="s">
        <v>96</v>
      </c>
      <c r="U3" s="160" t="s">
        <v>97</v>
      </c>
      <c r="V3" s="702" t="s">
        <v>89</v>
      </c>
      <c r="W3" s="702" t="s">
        <v>90</v>
      </c>
      <c r="X3" s="702" t="s">
        <v>91</v>
      </c>
      <c r="Y3" s="702" t="s">
        <v>92</v>
      </c>
      <c r="Z3" s="700" t="s">
        <v>98</v>
      </c>
      <c r="AA3" s="702" t="s">
        <v>94</v>
      </c>
    </row>
    <row r="4" spans="1:30" x14ac:dyDescent="0.25">
      <c r="A4" s="29" t="s">
        <v>15</v>
      </c>
      <c r="B4" s="151">
        <v>67848672.599999979</v>
      </c>
      <c r="C4" s="152">
        <v>35.002536946842035</v>
      </c>
      <c r="D4" s="153">
        <v>980500.29999999981</v>
      </c>
      <c r="E4" s="153">
        <v>485535.61818181816</v>
      </c>
      <c r="F4" s="153">
        <f t="shared" ref="F4:F13" si="0">D4-E4</f>
        <v>494964.68181818165</v>
      </c>
      <c r="G4" s="158">
        <v>35644.000000000015</v>
      </c>
      <c r="H4" s="158">
        <v>20232.230000000003</v>
      </c>
      <c r="I4" s="158">
        <v>84832.900000000023</v>
      </c>
      <c r="J4" s="158">
        <f>SUM(G4:I4)</f>
        <v>140709.13000000003</v>
      </c>
      <c r="K4" s="164">
        <f t="shared" ref="K4:K14" si="1">Z4*Q4%/100</f>
        <v>50954.353122599983</v>
      </c>
      <c r="L4" s="703">
        <f t="shared" ref="L4:L13" si="2">F4-J4</f>
        <v>354255.55181818164</v>
      </c>
      <c r="P4" s="704" t="s">
        <v>15</v>
      </c>
      <c r="Q4" s="153">
        <v>67848672.599999979</v>
      </c>
      <c r="R4" s="152">
        <v>35.002536946842035</v>
      </c>
      <c r="S4" s="154">
        <f t="shared" ref="S4:S14" si="3">D4/B4*10000</f>
        <v>144.51281984255064</v>
      </c>
      <c r="T4" s="154">
        <f t="shared" ref="T4:T14" si="4">E4/B4*10000</f>
        <v>71.561550075456935</v>
      </c>
      <c r="U4" s="159">
        <f t="shared" ref="U4:U14" si="5">F4/B4*10000</f>
        <v>72.951269767093692</v>
      </c>
      <c r="V4" s="155">
        <f t="shared" ref="V4:V14" si="6">G4/B4*10000</f>
        <v>5.2534557617859754</v>
      </c>
      <c r="W4" s="155">
        <f t="shared" ref="W4:W14" si="7">H4/B4*10000</f>
        <v>2.9819640126607299</v>
      </c>
      <c r="X4" s="155">
        <f t="shared" ref="X4:X14" si="8">I4/B4*10000</f>
        <v>12.503251242677965</v>
      </c>
      <c r="Y4" s="156">
        <f t="shared" ref="Y4:Y14" si="9">SUM(V4:X4)</f>
        <v>20.73867101712467</v>
      </c>
      <c r="Z4" s="165">
        <v>7.51</v>
      </c>
      <c r="AA4" s="705">
        <f t="shared" ref="AA4:AA14" si="10">U4-Y4</f>
        <v>52.212598749969018</v>
      </c>
      <c r="AD4" s="163"/>
    </row>
    <row r="5" spans="1:30" x14ac:dyDescent="0.25">
      <c r="A5" s="29" t="s">
        <v>17</v>
      </c>
      <c r="B5" s="151">
        <v>2197241.5799999991</v>
      </c>
      <c r="C5" s="152">
        <v>33.875637198976278</v>
      </c>
      <c r="D5" s="153">
        <v>32463.918181818222</v>
      </c>
      <c r="E5" s="153">
        <v>11226.545454545458</v>
      </c>
      <c r="F5" s="153">
        <f t="shared" si="0"/>
        <v>21237.372727272763</v>
      </c>
      <c r="G5" s="158">
        <v>1232.0000000000002</v>
      </c>
      <c r="H5" s="158">
        <v>0</v>
      </c>
      <c r="I5" s="158">
        <v>0</v>
      </c>
      <c r="J5" s="158">
        <f t="shared" ref="J5:J14" si="11">SUM(G5:I5)</f>
        <v>1232.0000000000002</v>
      </c>
      <c r="K5" s="164">
        <f t="shared" si="1"/>
        <v>1650.1284265799993</v>
      </c>
      <c r="L5" s="703">
        <f t="shared" si="2"/>
        <v>20005.372727272763</v>
      </c>
      <c r="P5" s="704" t="s">
        <v>17</v>
      </c>
      <c r="Q5" s="153">
        <v>2197241.5799999991</v>
      </c>
      <c r="R5" s="152">
        <v>33.875637198976278</v>
      </c>
      <c r="S5" s="154">
        <f t="shared" si="3"/>
        <v>147.74851558115077</v>
      </c>
      <c r="T5" s="154">
        <f t="shared" si="4"/>
        <v>51.093814884685841</v>
      </c>
      <c r="U5" s="159">
        <f t="shared" si="5"/>
        <v>96.654700696464943</v>
      </c>
      <c r="V5" s="155">
        <f t="shared" si="6"/>
        <v>5.6070302474432543</v>
      </c>
      <c r="W5" s="155">
        <f t="shared" si="7"/>
        <v>0</v>
      </c>
      <c r="X5" s="155">
        <f t="shared" si="8"/>
        <v>0</v>
      </c>
      <c r="Y5" s="156">
        <f t="shared" si="9"/>
        <v>5.6070302474432543</v>
      </c>
      <c r="Z5" s="165">
        <v>7.51</v>
      </c>
      <c r="AA5" s="705">
        <f t="shared" si="10"/>
        <v>91.047670449021695</v>
      </c>
    </row>
    <row r="6" spans="1:30" x14ac:dyDescent="0.25">
      <c r="A6" s="29" t="s">
        <v>18</v>
      </c>
      <c r="B6" s="151">
        <v>49911580.539999992</v>
      </c>
      <c r="C6" s="152">
        <v>45.805317084631149</v>
      </c>
      <c r="D6" s="153">
        <v>724476.81818181858</v>
      </c>
      <c r="E6" s="153">
        <v>352105.10000000003</v>
      </c>
      <c r="F6" s="153">
        <f t="shared" si="0"/>
        <v>372371.71818181855</v>
      </c>
      <c r="G6" s="158">
        <v>28872.96344890109</v>
      </c>
      <c r="H6" s="158">
        <v>17893.449999999997</v>
      </c>
      <c r="I6" s="158">
        <v>63631.584349784091</v>
      </c>
      <c r="J6" s="158">
        <f t="shared" si="11"/>
        <v>110397.99779868519</v>
      </c>
      <c r="K6" s="164">
        <f t="shared" si="1"/>
        <v>37483.596985539989</v>
      </c>
      <c r="L6" s="703">
        <f t="shared" si="2"/>
        <v>261973.72038313336</v>
      </c>
      <c r="P6" s="704" t="s">
        <v>18</v>
      </c>
      <c r="Q6" s="153">
        <v>49911580.539999992</v>
      </c>
      <c r="R6" s="152">
        <v>45.805317084631149</v>
      </c>
      <c r="S6" s="154">
        <f t="shared" si="3"/>
        <v>145.15204895208848</v>
      </c>
      <c r="T6" s="154">
        <f t="shared" si="4"/>
        <v>70.545772381985984</v>
      </c>
      <c r="U6" s="159">
        <f t="shared" si="5"/>
        <v>74.606276570102494</v>
      </c>
      <c r="V6" s="155">
        <f t="shared" si="6"/>
        <v>5.7848225074262682</v>
      </c>
      <c r="W6" s="155">
        <f t="shared" si="7"/>
        <v>3.585029727852413</v>
      </c>
      <c r="X6" s="155">
        <f t="shared" si="8"/>
        <v>12.748861819510736</v>
      </c>
      <c r="Y6" s="156">
        <f t="shared" si="9"/>
        <v>22.118714054789418</v>
      </c>
      <c r="Z6" s="165">
        <v>7.51</v>
      </c>
      <c r="AA6" s="705">
        <f t="shared" si="10"/>
        <v>52.487562515313073</v>
      </c>
    </row>
    <row r="7" spans="1:30" x14ac:dyDescent="0.25">
      <c r="A7" s="29" t="s">
        <v>19</v>
      </c>
      <c r="B7" s="151">
        <v>6660419.1699999934</v>
      </c>
      <c r="C7" s="152">
        <v>25.897687901952676</v>
      </c>
      <c r="D7" s="153">
        <v>106553.45454545466</v>
      </c>
      <c r="E7" s="153">
        <v>49508.700000000033</v>
      </c>
      <c r="F7" s="153">
        <f t="shared" si="0"/>
        <v>57044.754545454627</v>
      </c>
      <c r="G7" s="158">
        <v>574.00000000000023</v>
      </c>
      <c r="H7" s="158">
        <v>0</v>
      </c>
      <c r="I7" s="158">
        <v>106.77999999999999</v>
      </c>
      <c r="J7" s="158">
        <f t="shared" si="11"/>
        <v>680.7800000000002</v>
      </c>
      <c r="K7" s="164">
        <f t="shared" si="1"/>
        <v>5001.9747966699952</v>
      </c>
      <c r="L7" s="703">
        <f t="shared" si="2"/>
        <v>56363.974545454628</v>
      </c>
      <c r="P7" s="704" t="s">
        <v>19</v>
      </c>
      <c r="Q7" s="153">
        <v>6660419.1699999934</v>
      </c>
      <c r="R7" s="152">
        <v>25.897687901952676</v>
      </c>
      <c r="S7" s="154">
        <f t="shared" si="3"/>
        <v>159.98010309230244</v>
      </c>
      <c r="T7" s="154">
        <f t="shared" si="4"/>
        <v>74.33270900275798</v>
      </c>
      <c r="U7" s="159">
        <f t="shared" si="5"/>
        <v>85.647394089544491</v>
      </c>
      <c r="V7" s="155">
        <f t="shared" si="6"/>
        <v>0.86180762103596065</v>
      </c>
      <c r="W7" s="155">
        <f t="shared" si="7"/>
        <v>0</v>
      </c>
      <c r="X7" s="157">
        <f t="shared" si="8"/>
        <v>0.16032024002477324</v>
      </c>
      <c r="Y7" s="156">
        <f t="shared" si="9"/>
        <v>1.0221278610607338</v>
      </c>
      <c r="Z7" s="165">
        <v>7.51</v>
      </c>
      <c r="AA7" s="705">
        <f t="shared" si="10"/>
        <v>84.625266228483753</v>
      </c>
    </row>
    <row r="8" spans="1:30" x14ac:dyDescent="0.25">
      <c r="A8" s="29" t="s">
        <v>20</v>
      </c>
      <c r="B8" s="151">
        <v>431420.33999999973</v>
      </c>
      <c r="C8" s="152">
        <v>38.7132394113424</v>
      </c>
      <c r="D8" s="153">
        <v>5806.7090909090894</v>
      </c>
      <c r="E8" s="153">
        <v>2444.3454545454565</v>
      </c>
      <c r="F8" s="153">
        <f t="shared" si="0"/>
        <v>3362.3636363636328</v>
      </c>
      <c r="G8" s="158">
        <v>425.00000000000011</v>
      </c>
      <c r="H8" s="158">
        <v>0</v>
      </c>
      <c r="I8" s="158">
        <v>0</v>
      </c>
      <c r="J8" s="158">
        <f t="shared" si="11"/>
        <v>425.00000000000011</v>
      </c>
      <c r="K8" s="164">
        <f t="shared" si="1"/>
        <v>323.9966753399998</v>
      </c>
      <c r="L8" s="703">
        <f t="shared" si="2"/>
        <v>2937.3636363636328</v>
      </c>
      <c r="P8" s="704" t="s">
        <v>20</v>
      </c>
      <c r="Q8" s="153">
        <v>431420.33999999973</v>
      </c>
      <c r="R8" s="152">
        <v>38.7132394113424</v>
      </c>
      <c r="S8" s="154">
        <f t="shared" si="3"/>
        <v>134.59516282679422</v>
      </c>
      <c r="T8" s="154">
        <f t="shared" si="4"/>
        <v>56.658094853512424</v>
      </c>
      <c r="U8" s="159">
        <f t="shared" si="5"/>
        <v>77.937067973281813</v>
      </c>
      <c r="V8" s="155">
        <f t="shared" si="6"/>
        <v>9.8511813328041136</v>
      </c>
      <c r="W8" s="155">
        <f t="shared" si="7"/>
        <v>0</v>
      </c>
      <c r="X8" s="157">
        <f t="shared" si="8"/>
        <v>0</v>
      </c>
      <c r="Y8" s="156">
        <f t="shared" si="9"/>
        <v>9.8511813328041136</v>
      </c>
      <c r="Z8" s="165">
        <v>7.51</v>
      </c>
      <c r="AA8" s="705">
        <f t="shared" si="10"/>
        <v>68.085886640477696</v>
      </c>
    </row>
    <row r="9" spans="1:30" x14ac:dyDescent="0.25">
      <c r="A9" s="29" t="s">
        <v>21</v>
      </c>
      <c r="B9" s="151">
        <v>6301210.0699999938</v>
      </c>
      <c r="C9" s="152">
        <v>33.993893441517422</v>
      </c>
      <c r="D9" s="153">
        <v>89996.554545454535</v>
      </c>
      <c r="E9" s="153">
        <v>36097.290909090923</v>
      </c>
      <c r="F9" s="153">
        <f t="shared" si="0"/>
        <v>53899.263636363612</v>
      </c>
      <c r="G9" s="158">
        <v>-1900.0000000000005</v>
      </c>
      <c r="H9" s="158">
        <v>1123.0100000000002</v>
      </c>
      <c r="I9" s="158">
        <v>0</v>
      </c>
      <c r="J9" s="158">
        <f t="shared" si="11"/>
        <v>-776.99000000000024</v>
      </c>
      <c r="K9" s="164">
        <f t="shared" si="1"/>
        <v>4732.2087625699951</v>
      </c>
      <c r="L9" s="703">
        <f t="shared" si="2"/>
        <v>54676.25363636361</v>
      </c>
      <c r="P9" s="704" t="s">
        <v>21</v>
      </c>
      <c r="Q9" s="153">
        <v>6301210.0699999938</v>
      </c>
      <c r="R9" s="152">
        <v>33.993893441517422</v>
      </c>
      <c r="S9" s="154">
        <f t="shared" si="3"/>
        <v>142.82424097226556</v>
      </c>
      <c r="T9" s="154">
        <f t="shared" si="4"/>
        <v>57.286283917036528</v>
      </c>
      <c r="U9" s="159">
        <f t="shared" si="5"/>
        <v>85.537957055229015</v>
      </c>
      <c r="V9" s="155">
        <f t="shared" si="6"/>
        <v>-3.0152938545024615</v>
      </c>
      <c r="W9" s="155">
        <f t="shared" si="7"/>
        <v>1.7822132376551625</v>
      </c>
      <c r="X9" s="157">
        <f t="shared" si="8"/>
        <v>0</v>
      </c>
      <c r="Y9" s="156">
        <f t="shared" si="9"/>
        <v>-1.233080616847299</v>
      </c>
      <c r="Z9" s="165">
        <v>7.51</v>
      </c>
      <c r="AA9" s="705">
        <f t="shared" si="10"/>
        <v>86.771037672076318</v>
      </c>
    </row>
    <row r="10" spans="1:30" x14ac:dyDescent="0.25">
      <c r="A10" s="29" t="s">
        <v>22</v>
      </c>
      <c r="B10" s="151">
        <v>2086356.2500000016</v>
      </c>
      <c r="C10" s="152">
        <v>36.187536857806947</v>
      </c>
      <c r="D10" s="153">
        <v>30797.736363636377</v>
      </c>
      <c r="E10" s="153">
        <v>13348.163636363632</v>
      </c>
      <c r="F10" s="153">
        <f t="shared" si="0"/>
        <v>17449.572727272745</v>
      </c>
      <c r="G10" s="158">
        <v>2374</v>
      </c>
      <c r="H10" s="158">
        <v>0</v>
      </c>
      <c r="I10" s="158">
        <v>0</v>
      </c>
      <c r="J10" s="158">
        <f t="shared" si="11"/>
        <v>2374</v>
      </c>
      <c r="K10" s="164">
        <f t="shared" si="1"/>
        <v>1566.8535437500011</v>
      </c>
      <c r="L10" s="703">
        <f t="shared" si="2"/>
        <v>15075.572727272745</v>
      </c>
      <c r="P10" s="704" t="s">
        <v>22</v>
      </c>
      <c r="Q10" s="153">
        <v>2086356.2500000016</v>
      </c>
      <c r="R10" s="152">
        <v>36.187536857806947</v>
      </c>
      <c r="S10" s="154">
        <f t="shared" si="3"/>
        <v>147.6149452598824</v>
      </c>
      <c r="T10" s="154">
        <f t="shared" si="4"/>
        <v>63.978352864538941</v>
      </c>
      <c r="U10" s="159">
        <f t="shared" si="5"/>
        <v>83.636592395343456</v>
      </c>
      <c r="V10" s="155">
        <f t="shared" si="6"/>
        <v>11.378689521504288</v>
      </c>
      <c r="W10" s="155">
        <f t="shared" si="7"/>
        <v>0</v>
      </c>
      <c r="X10" s="157">
        <f t="shared" si="8"/>
        <v>0</v>
      </c>
      <c r="Y10" s="156">
        <f t="shared" si="9"/>
        <v>11.378689521504288</v>
      </c>
      <c r="Z10" s="165">
        <v>7.51</v>
      </c>
      <c r="AA10" s="705">
        <f t="shared" si="10"/>
        <v>72.257902873839171</v>
      </c>
    </row>
    <row r="11" spans="1:30" x14ac:dyDescent="0.25">
      <c r="A11" s="29" t="s">
        <v>24</v>
      </c>
      <c r="B11" s="151">
        <v>387891.4200000001</v>
      </c>
      <c r="C11" s="152">
        <v>31.211089475378188</v>
      </c>
      <c r="D11" s="153">
        <v>5719.3818181818169</v>
      </c>
      <c r="E11" s="153">
        <v>1924.3636363636367</v>
      </c>
      <c r="F11" s="153">
        <f t="shared" si="0"/>
        <v>3795.01818181818</v>
      </c>
      <c r="G11" s="158">
        <v>56.000000000000021</v>
      </c>
      <c r="H11" s="158">
        <v>0</v>
      </c>
      <c r="I11" s="158">
        <v>68.500000000000014</v>
      </c>
      <c r="J11" s="158">
        <f t="shared" si="11"/>
        <v>124.50000000000003</v>
      </c>
      <c r="K11" s="164">
        <f t="shared" si="1"/>
        <v>291.30645642000007</v>
      </c>
      <c r="L11" s="703">
        <f t="shared" si="2"/>
        <v>3670.51818181818</v>
      </c>
      <c r="P11" s="704" t="s">
        <v>24</v>
      </c>
      <c r="Q11" s="153">
        <v>387891.4200000001</v>
      </c>
      <c r="R11" s="152">
        <v>31.211089475378188</v>
      </c>
      <c r="S11" s="154">
        <f t="shared" si="3"/>
        <v>147.4480105329944</v>
      </c>
      <c r="T11" s="154">
        <f t="shared" si="4"/>
        <v>49.610884313028535</v>
      </c>
      <c r="U11" s="159">
        <f t="shared" si="5"/>
        <v>97.837126219965867</v>
      </c>
      <c r="V11" s="155">
        <f t="shared" si="6"/>
        <v>1.4437029826542698</v>
      </c>
      <c r="W11" s="155">
        <f t="shared" si="7"/>
        <v>0</v>
      </c>
      <c r="X11" s="157">
        <f t="shared" si="8"/>
        <v>1.765958112711026</v>
      </c>
      <c r="Y11" s="156">
        <f t="shared" si="9"/>
        <v>3.2096610953652958</v>
      </c>
      <c r="Z11" s="165">
        <v>7.51</v>
      </c>
      <c r="AA11" s="705">
        <f t="shared" si="10"/>
        <v>94.627465124600576</v>
      </c>
    </row>
    <row r="12" spans="1:30" x14ac:dyDescent="0.25">
      <c r="A12" s="29" t="s">
        <v>23</v>
      </c>
      <c r="B12" s="151">
        <v>8489616.4800000042</v>
      </c>
      <c r="C12" s="152">
        <v>20.15162224326885</v>
      </c>
      <c r="D12" s="153">
        <v>124984.75454545459</v>
      </c>
      <c r="E12" s="153">
        <v>64904.145454545396</v>
      </c>
      <c r="F12" s="153">
        <f t="shared" si="0"/>
        <v>60080.609090909194</v>
      </c>
      <c r="G12" s="158">
        <v>6688.0000000000082</v>
      </c>
      <c r="H12" s="158">
        <v>6272.5200000000032</v>
      </c>
      <c r="I12" s="158">
        <v>8895.3599999999951</v>
      </c>
      <c r="J12" s="158">
        <f t="shared" si="11"/>
        <v>21855.880000000005</v>
      </c>
      <c r="K12" s="164">
        <f t="shared" si="1"/>
        <v>6375.7019764800034</v>
      </c>
      <c r="L12" s="703">
        <f t="shared" si="2"/>
        <v>38224.72909090919</v>
      </c>
      <c r="P12" s="704" t="s">
        <v>23</v>
      </c>
      <c r="Q12" s="153">
        <v>8489616.4800000042</v>
      </c>
      <c r="R12" s="152">
        <v>20.15162224326885</v>
      </c>
      <c r="S12" s="154">
        <f t="shared" si="3"/>
        <v>147.22073116011305</v>
      </c>
      <c r="T12" s="154">
        <f t="shared" si="4"/>
        <v>76.451210260731784</v>
      </c>
      <c r="U12" s="159">
        <f t="shared" si="5"/>
        <v>70.769520899381277</v>
      </c>
      <c r="V12" s="155">
        <f t="shared" si="6"/>
        <v>7.8778588122982027</v>
      </c>
      <c r="W12" s="155">
        <f t="shared" si="7"/>
        <v>7.3884609684983085</v>
      </c>
      <c r="X12" s="155">
        <f t="shared" si="8"/>
        <v>10.477929151400241</v>
      </c>
      <c r="Y12" s="156">
        <f t="shared" si="9"/>
        <v>25.744248932196754</v>
      </c>
      <c r="Z12" s="165">
        <v>7.51</v>
      </c>
      <c r="AA12" s="705">
        <f t="shared" si="10"/>
        <v>45.025271967184523</v>
      </c>
    </row>
    <row r="13" spans="1:30" x14ac:dyDescent="0.25">
      <c r="A13" s="145" t="s">
        <v>25</v>
      </c>
      <c r="B13" s="153">
        <f>B24</f>
        <v>1300733.5199999998</v>
      </c>
      <c r="C13" s="152">
        <f t="shared" ref="C13:I13" si="12">C24</f>
        <v>15.28</v>
      </c>
      <c r="D13" s="153">
        <f t="shared" si="12"/>
        <v>12019.054545454544</v>
      </c>
      <c r="E13" s="153">
        <f t="shared" si="12"/>
        <v>8579.9090909090937</v>
      </c>
      <c r="F13" s="153">
        <f t="shared" si="0"/>
        <v>3439.1454545454508</v>
      </c>
      <c r="G13" s="158">
        <f t="shared" si="12"/>
        <v>0</v>
      </c>
      <c r="H13" s="158">
        <f t="shared" si="12"/>
        <v>0</v>
      </c>
      <c r="I13" s="158">
        <f t="shared" si="12"/>
        <v>0</v>
      </c>
      <c r="J13" s="158">
        <f t="shared" si="11"/>
        <v>0</v>
      </c>
      <c r="K13" s="164">
        <f t="shared" si="1"/>
        <v>976.85087351999971</v>
      </c>
      <c r="L13" s="703">
        <f t="shared" si="2"/>
        <v>3439.1454545454508</v>
      </c>
      <c r="P13" s="29" t="s">
        <v>25</v>
      </c>
      <c r="Q13" s="174">
        <f>Q24</f>
        <v>1300733.5199999998</v>
      </c>
      <c r="R13" s="152">
        <f t="shared" ref="R13" si="13">R24</f>
        <v>15.28</v>
      </c>
      <c r="S13" s="154">
        <f t="shared" si="3"/>
        <v>92.402128188828001</v>
      </c>
      <c r="T13" s="154">
        <f t="shared" si="4"/>
        <v>65.962081848318135</v>
      </c>
      <c r="U13" s="159">
        <f t="shared" si="5"/>
        <v>26.440046340509863</v>
      </c>
      <c r="V13" s="155">
        <f t="shared" si="6"/>
        <v>0</v>
      </c>
      <c r="W13" s="155">
        <f t="shared" si="7"/>
        <v>0</v>
      </c>
      <c r="X13" s="155">
        <f t="shared" si="8"/>
        <v>0</v>
      </c>
      <c r="Y13" s="156">
        <f t="shared" si="9"/>
        <v>0</v>
      </c>
      <c r="Z13" s="165">
        <v>7.51</v>
      </c>
      <c r="AA13" s="705">
        <f t="shared" si="10"/>
        <v>26.440046340509863</v>
      </c>
    </row>
    <row r="14" spans="1:30" ht="16.5" customHeight="1" x14ac:dyDescent="0.25">
      <c r="A14" s="706" t="s">
        <v>10</v>
      </c>
      <c r="B14" s="166">
        <f>SUM(B4:B13)</f>
        <v>145615141.96999994</v>
      </c>
      <c r="C14" s="167">
        <v>35.32</v>
      </c>
      <c r="D14" s="168">
        <f t="shared" ref="D14:I14" si="14">SUM(D4:D13)</f>
        <v>2113318.6818181821</v>
      </c>
      <c r="E14" s="168">
        <f t="shared" si="14"/>
        <v>1025674.1818181818</v>
      </c>
      <c r="F14" s="168">
        <f t="shared" si="14"/>
        <v>1087644.5000000005</v>
      </c>
      <c r="G14" s="169">
        <f t="shared" si="14"/>
        <v>73965.963448901122</v>
      </c>
      <c r="H14" s="169">
        <f t="shared" si="14"/>
        <v>45521.210000000006</v>
      </c>
      <c r="I14" s="169">
        <f t="shared" si="14"/>
        <v>157535.12434978411</v>
      </c>
      <c r="J14" s="169">
        <f t="shared" si="11"/>
        <v>277022.29779868526</v>
      </c>
      <c r="K14" s="707">
        <f t="shared" si="1"/>
        <v>109356.97161946996</v>
      </c>
      <c r="L14" s="169">
        <f>SUM(L4:L13)</f>
        <v>810622.20220131532</v>
      </c>
      <c r="P14" s="708" t="s">
        <v>10</v>
      </c>
      <c r="Q14" s="168">
        <f>SUM(Q4:Q13)</f>
        <v>145615141.96999994</v>
      </c>
      <c r="R14" s="167">
        <v>35.32</v>
      </c>
      <c r="S14" s="175">
        <f t="shared" si="3"/>
        <v>145.13042072599663</v>
      </c>
      <c r="T14" s="175">
        <f t="shared" si="4"/>
        <v>70.437330070350399</v>
      </c>
      <c r="U14" s="709">
        <f t="shared" si="5"/>
        <v>74.693090655646259</v>
      </c>
      <c r="V14" s="172">
        <f t="shared" si="6"/>
        <v>5.0795516488346948</v>
      </c>
      <c r="W14" s="172">
        <f t="shared" si="7"/>
        <v>3.1261316223129061</v>
      </c>
      <c r="X14" s="172">
        <f t="shared" si="8"/>
        <v>10.818594977041601</v>
      </c>
      <c r="Y14" s="710">
        <f t="shared" si="9"/>
        <v>19.024278248189201</v>
      </c>
      <c r="Z14" s="173">
        <v>7.51</v>
      </c>
      <c r="AA14" s="172">
        <f t="shared" si="10"/>
        <v>55.668812407457054</v>
      </c>
    </row>
    <row r="17" spans="1:29" hidden="1" x14ac:dyDescent="0.25">
      <c r="A17" t="s">
        <v>31</v>
      </c>
      <c r="B17" s="69">
        <v>702.21000000000015</v>
      </c>
      <c r="C17" s="148">
        <v>43.888125000000009</v>
      </c>
      <c r="D17" s="69">
        <v>15.272727272727275</v>
      </c>
      <c r="E17" s="69">
        <v>11.518181818181819</v>
      </c>
      <c r="F17" s="69">
        <v>3.7545454545454557</v>
      </c>
      <c r="G17" s="69"/>
      <c r="H17" s="69"/>
      <c r="I17" s="69"/>
      <c r="J17" s="69"/>
      <c r="L17" s="69">
        <v>3.7545454545454557</v>
      </c>
      <c r="P17" t="s">
        <v>31</v>
      </c>
      <c r="Q17" s="69">
        <v>702.21000000000015</v>
      </c>
      <c r="R17" s="148">
        <v>43.888125000000009</v>
      </c>
      <c r="S17" s="69">
        <v>15.272727272727275</v>
      </c>
      <c r="T17" s="69">
        <v>11.518181818181819</v>
      </c>
      <c r="U17" s="69">
        <v>3.7545454545454557</v>
      </c>
      <c r="V17" s="69"/>
      <c r="W17" s="69"/>
      <c r="X17" s="69"/>
      <c r="Y17" s="69"/>
      <c r="AA17" s="69">
        <v>3.7545454545454557</v>
      </c>
    </row>
    <row r="18" spans="1:29" hidden="1" x14ac:dyDescent="0.25">
      <c r="A18" t="s">
        <v>32</v>
      </c>
      <c r="B18" s="69">
        <v>474683.3499999998</v>
      </c>
      <c r="C18" s="148">
        <v>18.685378286883946</v>
      </c>
      <c r="D18" s="69">
        <v>4196.5272727272722</v>
      </c>
      <c r="E18" s="69">
        <v>3370.6181818181835</v>
      </c>
      <c r="F18" s="69">
        <v>825.90909090908872</v>
      </c>
      <c r="G18" s="69"/>
      <c r="H18" s="69"/>
      <c r="I18" s="69"/>
      <c r="J18" s="69"/>
      <c r="L18" s="69">
        <v>825.90909090908872</v>
      </c>
      <c r="P18" t="s">
        <v>32</v>
      </c>
      <c r="Q18" s="69">
        <v>474683.3499999998</v>
      </c>
      <c r="R18" s="148">
        <v>18.685378286883946</v>
      </c>
      <c r="S18" s="69">
        <v>4196.5272727272722</v>
      </c>
      <c r="T18" s="69">
        <v>3370.6181818181835</v>
      </c>
      <c r="U18" s="69">
        <v>825.90909090908872</v>
      </c>
      <c r="V18" s="69"/>
      <c r="W18" s="69"/>
      <c r="X18" s="69"/>
      <c r="Y18" s="69"/>
      <c r="AA18" s="69">
        <v>825.90909090908872</v>
      </c>
    </row>
    <row r="19" spans="1:29" hidden="1" x14ac:dyDescent="0.25">
      <c r="A19" t="s">
        <v>33</v>
      </c>
      <c r="B19" s="69">
        <v>-5.29</v>
      </c>
      <c r="C19" s="148">
        <v>-5.29</v>
      </c>
      <c r="D19" s="69">
        <v>-7.2727272727272724E-2</v>
      </c>
      <c r="E19" s="69">
        <v>2.7272727272727268E-2</v>
      </c>
      <c r="F19" s="69">
        <v>-9.9999999999999992E-2</v>
      </c>
      <c r="G19" s="69"/>
      <c r="H19" s="69"/>
      <c r="I19" s="69"/>
      <c r="J19" s="69"/>
      <c r="L19" s="69">
        <v>-9.9999999999999992E-2</v>
      </c>
      <c r="P19" t="s">
        <v>33</v>
      </c>
      <c r="Q19" s="69">
        <v>-5.29</v>
      </c>
      <c r="R19" s="148">
        <v>-5.29</v>
      </c>
      <c r="S19" s="69">
        <v>-7.2727272727272724E-2</v>
      </c>
      <c r="T19" s="69">
        <v>2.7272727272727268E-2</v>
      </c>
      <c r="U19" s="69">
        <v>-9.9999999999999992E-2</v>
      </c>
      <c r="V19" s="69"/>
      <c r="W19" s="69"/>
      <c r="X19" s="69"/>
      <c r="Y19" s="69"/>
      <c r="AA19" s="69">
        <v>-9.9999999999999992E-2</v>
      </c>
    </row>
    <row r="20" spans="1:29" hidden="1" x14ac:dyDescent="0.25">
      <c r="A20" t="s">
        <v>34</v>
      </c>
      <c r="B20" s="69">
        <v>88245.76999999999</v>
      </c>
      <c r="C20" s="148">
        <v>79.500693693693691</v>
      </c>
      <c r="D20" s="69">
        <v>2001.4272727272723</v>
      </c>
      <c r="E20" s="69">
        <v>1708.5272727272722</v>
      </c>
      <c r="F20" s="69">
        <v>292.90000000000009</v>
      </c>
      <c r="G20" s="69"/>
      <c r="H20" s="69"/>
      <c r="I20" s="69"/>
      <c r="J20" s="69"/>
      <c r="L20" s="69">
        <v>292.90000000000009</v>
      </c>
      <c r="P20" t="s">
        <v>34</v>
      </c>
      <c r="Q20" s="69">
        <v>88245.76999999999</v>
      </c>
      <c r="R20" s="148">
        <v>79.500693693693691</v>
      </c>
      <c r="S20" s="69">
        <v>2001.4272727272723</v>
      </c>
      <c r="T20" s="69">
        <v>1708.5272727272722</v>
      </c>
      <c r="U20" s="69">
        <v>292.90000000000009</v>
      </c>
      <c r="V20" s="69"/>
      <c r="W20" s="69"/>
      <c r="X20" s="69"/>
      <c r="Y20" s="69"/>
      <c r="AA20" s="69">
        <v>292.90000000000009</v>
      </c>
    </row>
    <row r="21" spans="1:29" hidden="1" x14ac:dyDescent="0.25">
      <c r="A21" t="s">
        <v>35</v>
      </c>
      <c r="B21" s="69">
        <v>385179.38</v>
      </c>
      <c r="C21" s="148">
        <v>15.163945513956143</v>
      </c>
      <c r="D21" s="69">
        <v>3806.7545454545448</v>
      </c>
      <c r="E21" s="69">
        <v>2583.9818181818191</v>
      </c>
      <c r="F21" s="69">
        <v>1222.7727272727257</v>
      </c>
      <c r="G21" s="69"/>
      <c r="H21" s="69"/>
      <c r="I21" s="69"/>
      <c r="J21" s="69"/>
      <c r="L21" s="69">
        <v>1222.7727272727257</v>
      </c>
      <c r="P21" t="s">
        <v>35</v>
      </c>
      <c r="Q21" s="69">
        <v>385179.38</v>
      </c>
      <c r="R21" s="148">
        <v>15.163945513956143</v>
      </c>
      <c r="S21" s="69">
        <v>3806.7545454545448</v>
      </c>
      <c r="T21" s="69">
        <v>2583.9818181818191</v>
      </c>
      <c r="U21" s="69">
        <v>1222.7727272727257</v>
      </c>
      <c r="V21" s="69"/>
      <c r="W21" s="69"/>
      <c r="X21" s="69"/>
      <c r="Y21" s="69"/>
      <c r="AA21" s="69">
        <v>1222.7727272727257</v>
      </c>
    </row>
    <row r="22" spans="1:29" hidden="1" x14ac:dyDescent="0.25">
      <c r="A22" t="s">
        <v>29</v>
      </c>
      <c r="B22" s="69">
        <v>314119.35000000003</v>
      </c>
      <c r="C22" s="148">
        <v>10.68324150596878</v>
      </c>
      <c r="D22" s="69">
        <v>1792.0999999999997</v>
      </c>
      <c r="E22" s="69">
        <v>801.90000000000077</v>
      </c>
      <c r="F22" s="69">
        <v>990.19999999999891</v>
      </c>
      <c r="G22" s="69"/>
      <c r="H22" s="69"/>
      <c r="I22" s="69"/>
      <c r="J22" s="69"/>
      <c r="L22" s="69">
        <v>990.19999999999891</v>
      </c>
      <c r="P22" t="s">
        <v>29</v>
      </c>
      <c r="Q22" s="69">
        <v>314119.35000000003</v>
      </c>
      <c r="R22" s="148">
        <v>10.68324150596878</v>
      </c>
      <c r="S22" s="69">
        <v>1792.0999999999997</v>
      </c>
      <c r="T22" s="69">
        <v>801.90000000000077</v>
      </c>
      <c r="U22" s="69">
        <v>990.19999999999891</v>
      </c>
      <c r="V22" s="69"/>
      <c r="W22" s="69"/>
      <c r="X22" s="69"/>
      <c r="Y22" s="69"/>
      <c r="AA22" s="69">
        <v>990.19999999999891</v>
      </c>
    </row>
    <row r="23" spans="1:29" hidden="1" x14ac:dyDescent="0.25">
      <c r="A23" t="s">
        <v>30</v>
      </c>
      <c r="B23" s="69">
        <v>37808.749999999993</v>
      </c>
      <c r="C23" s="148">
        <v>9.9785563473211916</v>
      </c>
      <c r="D23" s="69">
        <v>207.04545454545456</v>
      </c>
      <c r="E23" s="69">
        <v>103.3363636363637</v>
      </c>
      <c r="F23" s="69">
        <v>103.70909090909086</v>
      </c>
      <c r="G23" s="69"/>
      <c r="H23" s="69"/>
      <c r="I23" s="69"/>
      <c r="J23" s="69"/>
      <c r="L23" s="69">
        <v>103.70909090909086</v>
      </c>
      <c r="P23" t="s">
        <v>30</v>
      </c>
      <c r="Q23" s="69">
        <v>37808.749999999993</v>
      </c>
      <c r="R23" s="148">
        <v>9.9785563473211916</v>
      </c>
      <c r="S23" s="69">
        <v>207.04545454545456</v>
      </c>
      <c r="T23" s="69">
        <v>103.3363636363637</v>
      </c>
      <c r="U23" s="69">
        <v>103.70909090909086</v>
      </c>
      <c r="V23" s="69"/>
      <c r="W23" s="69"/>
      <c r="X23" s="69"/>
      <c r="Y23" s="69"/>
      <c r="AA23" s="69">
        <v>103.70909090909086</v>
      </c>
    </row>
    <row r="24" spans="1:29" hidden="1" x14ac:dyDescent="0.25">
      <c r="B24" s="71">
        <f>SUM(B17:B23)</f>
        <v>1300733.5199999998</v>
      </c>
      <c r="C24" s="149">
        <v>15.28</v>
      </c>
      <c r="D24" s="71">
        <f t="shared" ref="D24:L24" si="15">SUM(D17:D23)</f>
        <v>12019.054545454544</v>
      </c>
      <c r="E24" s="71">
        <f t="shared" si="15"/>
        <v>8579.9090909090937</v>
      </c>
      <c r="F24" s="71">
        <f t="shared" si="15"/>
        <v>3439.1454545454494</v>
      </c>
      <c r="G24" s="71">
        <f t="shared" si="15"/>
        <v>0</v>
      </c>
      <c r="H24" s="71">
        <f t="shared" si="15"/>
        <v>0</v>
      </c>
      <c r="I24" s="71">
        <f t="shared" si="15"/>
        <v>0</v>
      </c>
      <c r="J24" s="71"/>
      <c r="L24" s="71">
        <f t="shared" si="15"/>
        <v>3439.1454545454494</v>
      </c>
      <c r="Q24" s="71">
        <f>SUM(Q17:Q23)</f>
        <v>1300733.5199999998</v>
      </c>
      <c r="R24" s="149">
        <v>15.28</v>
      </c>
      <c r="S24" s="71">
        <f t="shared" ref="S24" si="16">SUM(S17:S23)</f>
        <v>12019.054545454544</v>
      </c>
      <c r="T24" s="71">
        <f t="shared" ref="T24" si="17">SUM(T17:T23)</f>
        <v>8579.9090909090937</v>
      </c>
      <c r="U24" s="71">
        <f>SUM(U17:U23)</f>
        <v>3439.1454545454494</v>
      </c>
      <c r="V24" s="71">
        <f t="shared" ref="V24" si="18">SUM(V17:V23)</f>
        <v>0</v>
      </c>
      <c r="W24" s="71">
        <f t="shared" ref="W24" si="19">SUM(W17:W23)</f>
        <v>0</v>
      </c>
      <c r="X24" s="71">
        <f t="shared" ref="X24" si="20">SUM(X17:X23)</f>
        <v>0</v>
      </c>
      <c r="Y24" s="71"/>
      <c r="AA24" s="71">
        <f t="shared" ref="AA24" si="21">SUM(AA17:AA23)</f>
        <v>3439.1454545454494</v>
      </c>
    </row>
    <row r="29" spans="1:29" ht="29.25" customHeight="1" x14ac:dyDescent="0.25">
      <c r="A29" s="698" t="s">
        <v>12</v>
      </c>
      <c r="B29" s="150" t="s">
        <v>84</v>
      </c>
      <c r="C29" s="150" t="s">
        <v>85</v>
      </c>
      <c r="D29" s="150" t="s">
        <v>86</v>
      </c>
      <c r="E29" s="150" t="s">
        <v>87</v>
      </c>
      <c r="F29" s="150" t="s">
        <v>88</v>
      </c>
      <c r="G29" s="699" t="s">
        <v>89</v>
      </c>
      <c r="H29" s="699" t="s">
        <v>90</v>
      </c>
      <c r="I29" s="699" t="s">
        <v>91</v>
      </c>
      <c r="J29" s="699" t="s">
        <v>92</v>
      </c>
      <c r="K29" s="700" t="s">
        <v>93</v>
      </c>
      <c r="L29" s="699" t="s">
        <v>94</v>
      </c>
      <c r="P29" s="162" t="s">
        <v>12</v>
      </c>
      <c r="Q29" s="150" t="s">
        <v>84</v>
      </c>
      <c r="R29" s="150" t="s">
        <v>85</v>
      </c>
      <c r="S29" s="150" t="s">
        <v>95</v>
      </c>
      <c r="T29" s="150" t="s">
        <v>96</v>
      </c>
      <c r="U29" s="160" t="s">
        <v>97</v>
      </c>
      <c r="V29" s="702" t="s">
        <v>89</v>
      </c>
      <c r="W29" s="702" t="s">
        <v>90</v>
      </c>
      <c r="X29" s="702" t="s">
        <v>91</v>
      </c>
      <c r="Y29" s="702" t="s">
        <v>92</v>
      </c>
      <c r="Z29" s="700" t="s">
        <v>98</v>
      </c>
      <c r="AA29" s="702" t="s">
        <v>94</v>
      </c>
    </row>
    <row r="30" spans="1:29" x14ac:dyDescent="0.25">
      <c r="A30" s="29" t="s">
        <v>15</v>
      </c>
      <c r="B30" s="151">
        <f t="shared" ref="B30:B39" si="22">B4*$D$1</f>
        <v>73502728.649999976</v>
      </c>
      <c r="C30" s="152">
        <v>35.002536946842035</v>
      </c>
      <c r="D30" s="153">
        <f t="shared" ref="D30:D39" si="23">(D4/B4)*B30</f>
        <v>1062208.6583333332</v>
      </c>
      <c r="E30" s="153">
        <f t="shared" ref="E30:E39" si="24">(E4/B4)*B30</f>
        <v>525996.91969696968</v>
      </c>
      <c r="F30" s="153">
        <f t="shared" ref="F30:F39" si="25">D30-E30</f>
        <v>536211.73863636353</v>
      </c>
      <c r="G30" s="158">
        <v>35644.000000000015</v>
      </c>
      <c r="H30" s="158">
        <v>20232.230000000003</v>
      </c>
      <c r="I30" s="158">
        <v>84832.900000000023</v>
      </c>
      <c r="J30" s="158">
        <f t="shared" ref="J30:J40" si="26">SUM(G30:I30)</f>
        <v>140709.13000000003</v>
      </c>
      <c r="K30" s="164">
        <v>55000</v>
      </c>
      <c r="L30" s="711">
        <f>F30-J30-K30</f>
        <v>340502.60863636353</v>
      </c>
      <c r="P30" s="161" t="s">
        <v>15</v>
      </c>
      <c r="Q30" s="151">
        <f t="shared" ref="Q30:Q39" si="27">B30</f>
        <v>73502728.649999976</v>
      </c>
      <c r="R30" s="152">
        <f t="shared" ref="R30:R39" si="28">C30</f>
        <v>35.002536946842035</v>
      </c>
      <c r="S30" s="154">
        <f t="shared" ref="S30:S40" si="29">(D30/B30)*10000</f>
        <v>144.51281984255064</v>
      </c>
      <c r="T30" s="154">
        <f t="shared" ref="T30:T40" si="30">E30/B30*10000</f>
        <v>71.561550075456935</v>
      </c>
      <c r="U30" s="154">
        <f t="shared" ref="U30:U40" si="31">F30/B30*10000</f>
        <v>72.951269767093706</v>
      </c>
      <c r="V30" s="155">
        <f t="shared" ref="V30:V40" si="32">G30/B30*10000</f>
        <v>4.8493437801101313</v>
      </c>
      <c r="W30" s="155">
        <f t="shared" ref="W30:W40" si="33">H30/B30*10000</f>
        <v>2.752582165532981</v>
      </c>
      <c r="X30" s="155">
        <f t="shared" ref="X30:X40" si="34">I30/B30*10000</f>
        <v>11.541462685548893</v>
      </c>
      <c r="Y30" s="155">
        <f t="shared" ref="Y30:Y40" si="35">SUM(V30:X30)</f>
        <v>19.143388631192003</v>
      </c>
      <c r="Z30" s="176">
        <f>K30/B30*10000</f>
        <v>7.4827154052872045</v>
      </c>
      <c r="AA30" s="712">
        <f>U30-Y30-Z30</f>
        <v>46.325165730614501</v>
      </c>
      <c r="AC30" s="163"/>
    </row>
    <row r="31" spans="1:29" x14ac:dyDescent="0.25">
      <c r="A31" s="29" t="s">
        <v>17</v>
      </c>
      <c r="B31" s="151">
        <f t="shared" si="22"/>
        <v>2380345.044999999</v>
      </c>
      <c r="C31" s="152">
        <v>33.875637198976278</v>
      </c>
      <c r="D31" s="153">
        <f t="shared" si="23"/>
        <v>35169.244696969741</v>
      </c>
      <c r="E31" s="153">
        <f t="shared" si="24"/>
        <v>12162.090909090914</v>
      </c>
      <c r="F31" s="153">
        <f t="shared" si="25"/>
        <v>23007.153787878829</v>
      </c>
      <c r="G31" s="158">
        <v>1232.0000000000002</v>
      </c>
      <c r="H31" s="158">
        <v>0</v>
      </c>
      <c r="I31" s="158">
        <v>0</v>
      </c>
      <c r="J31" s="158">
        <f t="shared" si="26"/>
        <v>1232.0000000000002</v>
      </c>
      <c r="K31" s="164">
        <v>0</v>
      </c>
      <c r="L31" s="711">
        <f t="shared" ref="L31:L39" si="36">F31-J31-K31</f>
        <v>21775.153787878829</v>
      </c>
      <c r="P31" s="161" t="s">
        <v>17</v>
      </c>
      <c r="Q31" s="151">
        <f t="shared" si="27"/>
        <v>2380345.044999999</v>
      </c>
      <c r="R31" s="152">
        <f t="shared" si="28"/>
        <v>33.875637198976278</v>
      </c>
      <c r="S31" s="154">
        <f t="shared" si="29"/>
        <v>147.7485155811508</v>
      </c>
      <c r="T31" s="154">
        <f t="shared" si="30"/>
        <v>51.093814884685841</v>
      </c>
      <c r="U31" s="154">
        <f t="shared" si="31"/>
        <v>96.654700696464957</v>
      </c>
      <c r="V31" s="155">
        <f t="shared" si="32"/>
        <v>5.1757202284091575</v>
      </c>
      <c r="W31" s="155">
        <f t="shared" si="33"/>
        <v>0</v>
      </c>
      <c r="X31" s="155">
        <f t="shared" si="34"/>
        <v>0</v>
      </c>
      <c r="Y31" s="155">
        <f t="shared" si="35"/>
        <v>5.1757202284091575</v>
      </c>
      <c r="Z31" s="176">
        <f t="shared" ref="Z31:Z39" si="37">K31/B31*10000</f>
        <v>0</v>
      </c>
      <c r="AA31" s="712">
        <f t="shared" ref="AA31:AA39" si="38">U31-Y31-Z31</f>
        <v>91.478980468055795</v>
      </c>
      <c r="AC31" s="163"/>
    </row>
    <row r="32" spans="1:29" x14ac:dyDescent="0.25">
      <c r="A32" s="29" t="s">
        <v>18</v>
      </c>
      <c r="B32" s="151">
        <f t="shared" si="22"/>
        <v>54070878.918333322</v>
      </c>
      <c r="C32" s="152">
        <v>45.805317084631149</v>
      </c>
      <c r="D32" s="153">
        <f t="shared" si="23"/>
        <v>784849.8863636367</v>
      </c>
      <c r="E32" s="153">
        <f t="shared" si="24"/>
        <v>381447.19166666671</v>
      </c>
      <c r="F32" s="153">
        <f t="shared" si="25"/>
        <v>403402.69469696999</v>
      </c>
      <c r="G32" s="158">
        <v>28872.96344890109</v>
      </c>
      <c r="H32" s="158">
        <v>17893.449999999997</v>
      </c>
      <c r="I32" s="158">
        <v>63631.584349784091</v>
      </c>
      <c r="J32" s="158">
        <f t="shared" si="26"/>
        <v>110397.99779868519</v>
      </c>
      <c r="K32" s="164">
        <v>25000</v>
      </c>
      <c r="L32" s="711">
        <f t="shared" si="36"/>
        <v>268004.69689828483</v>
      </c>
      <c r="P32" s="161" t="s">
        <v>18</v>
      </c>
      <c r="Q32" s="151">
        <f t="shared" si="27"/>
        <v>54070878.918333322</v>
      </c>
      <c r="R32" s="152">
        <f t="shared" si="28"/>
        <v>45.805317084631149</v>
      </c>
      <c r="S32" s="154">
        <f t="shared" si="29"/>
        <v>145.15204895208848</v>
      </c>
      <c r="T32" s="154">
        <f t="shared" si="30"/>
        <v>70.545772381985984</v>
      </c>
      <c r="U32" s="154">
        <f t="shared" si="31"/>
        <v>74.606276570102494</v>
      </c>
      <c r="V32" s="155">
        <f t="shared" si="32"/>
        <v>5.3398361607011715</v>
      </c>
      <c r="W32" s="155">
        <f t="shared" si="33"/>
        <v>3.3092582103253045</v>
      </c>
      <c r="X32" s="155">
        <f t="shared" si="34"/>
        <v>11.768180141086832</v>
      </c>
      <c r="Y32" s="155">
        <f t="shared" si="35"/>
        <v>20.417274512113309</v>
      </c>
      <c r="Z32" s="176">
        <f t="shared" si="37"/>
        <v>4.6235608704935398</v>
      </c>
      <c r="AA32" s="712">
        <f t="shared" si="38"/>
        <v>49.565441187495644</v>
      </c>
      <c r="AC32" s="163"/>
    </row>
    <row r="33" spans="1:29" x14ac:dyDescent="0.25">
      <c r="A33" s="29" t="s">
        <v>19</v>
      </c>
      <c r="B33" s="151">
        <f t="shared" si="22"/>
        <v>7215454.1008333256</v>
      </c>
      <c r="C33" s="152">
        <v>25.897687901952676</v>
      </c>
      <c r="D33" s="153">
        <f t="shared" si="23"/>
        <v>115432.90909090919</v>
      </c>
      <c r="E33" s="153">
        <f t="shared" si="24"/>
        <v>53634.425000000032</v>
      </c>
      <c r="F33" s="153">
        <f t="shared" si="25"/>
        <v>61798.484090909158</v>
      </c>
      <c r="G33" s="158">
        <v>574.00000000000023</v>
      </c>
      <c r="H33" s="158">
        <v>0</v>
      </c>
      <c r="I33" s="158">
        <v>106.77999999999999</v>
      </c>
      <c r="J33" s="158">
        <f t="shared" si="26"/>
        <v>680.7800000000002</v>
      </c>
      <c r="K33" s="164">
        <v>0</v>
      </c>
      <c r="L33" s="711">
        <f t="shared" si="36"/>
        <v>61117.704090909159</v>
      </c>
      <c r="P33" s="161" t="s">
        <v>19</v>
      </c>
      <c r="Q33" s="151">
        <f t="shared" si="27"/>
        <v>7215454.1008333256</v>
      </c>
      <c r="R33" s="152">
        <f t="shared" si="28"/>
        <v>25.897687901952676</v>
      </c>
      <c r="S33" s="154">
        <f t="shared" si="29"/>
        <v>159.98010309230244</v>
      </c>
      <c r="T33" s="154">
        <f t="shared" si="30"/>
        <v>74.33270900275798</v>
      </c>
      <c r="U33" s="154">
        <f t="shared" si="31"/>
        <v>85.647394089544463</v>
      </c>
      <c r="V33" s="155">
        <f t="shared" si="32"/>
        <v>0.79551472711011761</v>
      </c>
      <c r="W33" s="155">
        <f t="shared" si="33"/>
        <v>0</v>
      </c>
      <c r="X33" s="155">
        <f t="shared" si="34"/>
        <v>0.14798791386902146</v>
      </c>
      <c r="Y33" s="155">
        <f t="shared" si="35"/>
        <v>0.94350264097913905</v>
      </c>
      <c r="Z33" s="176">
        <f t="shared" si="37"/>
        <v>0</v>
      </c>
      <c r="AA33" s="712">
        <f t="shared" si="38"/>
        <v>84.703891448565329</v>
      </c>
      <c r="AC33" s="163"/>
    </row>
    <row r="34" spans="1:29" x14ac:dyDescent="0.25">
      <c r="A34" s="29" t="s">
        <v>20</v>
      </c>
      <c r="B34" s="151">
        <f t="shared" si="22"/>
        <v>467372.03499999968</v>
      </c>
      <c r="C34" s="152">
        <v>38.7132394113424</v>
      </c>
      <c r="D34" s="153">
        <f t="shared" si="23"/>
        <v>6290.601515151513</v>
      </c>
      <c r="E34" s="153">
        <f t="shared" si="24"/>
        <v>2648.0409090909111</v>
      </c>
      <c r="F34" s="153">
        <f t="shared" si="25"/>
        <v>3642.5606060606019</v>
      </c>
      <c r="G34" s="158">
        <v>425.00000000000011</v>
      </c>
      <c r="H34" s="158">
        <v>0</v>
      </c>
      <c r="I34" s="158">
        <v>0</v>
      </c>
      <c r="J34" s="158">
        <f t="shared" si="26"/>
        <v>425.00000000000011</v>
      </c>
      <c r="K34" s="164">
        <v>0</v>
      </c>
      <c r="L34" s="711">
        <f t="shared" si="36"/>
        <v>3217.5606060606019</v>
      </c>
      <c r="P34" s="161" t="s">
        <v>20</v>
      </c>
      <c r="Q34" s="151">
        <f t="shared" si="27"/>
        <v>467372.03499999968</v>
      </c>
      <c r="R34" s="152">
        <f t="shared" si="28"/>
        <v>38.7132394113424</v>
      </c>
      <c r="S34" s="154">
        <f t="shared" si="29"/>
        <v>134.59516282679422</v>
      </c>
      <c r="T34" s="154">
        <f t="shared" si="30"/>
        <v>56.658094853512424</v>
      </c>
      <c r="U34" s="154">
        <f t="shared" si="31"/>
        <v>77.937067973281813</v>
      </c>
      <c r="V34" s="155">
        <f t="shared" si="32"/>
        <v>9.0933981533576436</v>
      </c>
      <c r="W34" s="155">
        <f t="shared" si="33"/>
        <v>0</v>
      </c>
      <c r="X34" s="155">
        <f t="shared" si="34"/>
        <v>0</v>
      </c>
      <c r="Y34" s="155">
        <f t="shared" si="35"/>
        <v>9.0933981533576436</v>
      </c>
      <c r="Z34" s="176">
        <f t="shared" si="37"/>
        <v>0</v>
      </c>
      <c r="AA34" s="712">
        <f t="shared" si="38"/>
        <v>68.843669819924173</v>
      </c>
      <c r="AC34" s="163"/>
    </row>
    <row r="35" spans="1:29" x14ac:dyDescent="0.25">
      <c r="A35" s="29" t="s">
        <v>21</v>
      </c>
      <c r="B35" s="151">
        <f t="shared" si="22"/>
        <v>6826310.9091666592</v>
      </c>
      <c r="C35" s="152">
        <v>33.993893441517422</v>
      </c>
      <c r="D35" s="153">
        <f t="shared" si="23"/>
        <v>97496.267424242411</v>
      </c>
      <c r="E35" s="153">
        <f t="shared" si="24"/>
        <v>39105.398484848498</v>
      </c>
      <c r="F35" s="153">
        <f t="shared" si="25"/>
        <v>58390.868939393913</v>
      </c>
      <c r="G35" s="158">
        <v>-1900.0000000000005</v>
      </c>
      <c r="H35" s="158">
        <v>1123.0100000000002</v>
      </c>
      <c r="I35" s="158">
        <v>0</v>
      </c>
      <c r="J35" s="158">
        <f t="shared" si="26"/>
        <v>-776.99000000000024</v>
      </c>
      <c r="K35" s="164">
        <v>0</v>
      </c>
      <c r="L35" s="711">
        <f t="shared" si="36"/>
        <v>59167.858939393911</v>
      </c>
      <c r="P35" s="161" t="s">
        <v>21</v>
      </c>
      <c r="Q35" s="151">
        <f t="shared" si="27"/>
        <v>6826310.9091666592</v>
      </c>
      <c r="R35" s="152">
        <f t="shared" si="28"/>
        <v>33.993893441517422</v>
      </c>
      <c r="S35" s="154">
        <f t="shared" si="29"/>
        <v>142.82424097226556</v>
      </c>
      <c r="T35" s="154">
        <f t="shared" si="30"/>
        <v>57.286283917036528</v>
      </c>
      <c r="U35" s="154">
        <f t="shared" si="31"/>
        <v>85.537957055229029</v>
      </c>
      <c r="V35" s="155">
        <f t="shared" si="32"/>
        <v>-2.7833481733868872</v>
      </c>
      <c r="W35" s="155">
        <f t="shared" si="33"/>
        <v>1.6451199116816886</v>
      </c>
      <c r="X35" s="155">
        <f t="shared" si="34"/>
        <v>0</v>
      </c>
      <c r="Y35" s="155">
        <f t="shared" si="35"/>
        <v>-1.1382282617051986</v>
      </c>
      <c r="Z35" s="176">
        <f t="shared" si="37"/>
        <v>0</v>
      </c>
      <c r="AA35" s="712">
        <f t="shared" si="38"/>
        <v>86.676185316934223</v>
      </c>
      <c r="AC35" s="163"/>
    </row>
    <row r="36" spans="1:29" x14ac:dyDescent="0.25">
      <c r="A36" s="29" t="s">
        <v>22</v>
      </c>
      <c r="B36" s="151">
        <f t="shared" si="22"/>
        <v>2260219.2708333349</v>
      </c>
      <c r="C36" s="152">
        <v>36.187536857806947</v>
      </c>
      <c r="D36" s="153">
        <f t="shared" si="23"/>
        <v>33364.214393939408</v>
      </c>
      <c r="E36" s="153">
        <f t="shared" si="24"/>
        <v>14460.510606060599</v>
      </c>
      <c r="F36" s="153">
        <f t="shared" si="25"/>
        <v>18903.703787878811</v>
      </c>
      <c r="G36" s="158">
        <v>2374</v>
      </c>
      <c r="H36" s="158">
        <v>0</v>
      </c>
      <c r="I36" s="158">
        <v>0</v>
      </c>
      <c r="J36" s="158">
        <f t="shared" si="26"/>
        <v>2374</v>
      </c>
      <c r="K36" s="164">
        <v>0</v>
      </c>
      <c r="L36" s="711">
        <f t="shared" si="36"/>
        <v>16529.703787878811</v>
      </c>
      <c r="P36" s="161" t="s">
        <v>22</v>
      </c>
      <c r="Q36" s="151">
        <f t="shared" si="27"/>
        <v>2260219.2708333349</v>
      </c>
      <c r="R36" s="152">
        <f t="shared" si="28"/>
        <v>36.187536857806947</v>
      </c>
      <c r="S36" s="154">
        <f t="shared" si="29"/>
        <v>147.61494525988243</v>
      </c>
      <c r="T36" s="154">
        <f t="shared" si="30"/>
        <v>63.978352864538941</v>
      </c>
      <c r="U36" s="154">
        <f t="shared" si="31"/>
        <v>83.636592395343499</v>
      </c>
      <c r="V36" s="155">
        <f t="shared" si="32"/>
        <v>10.503405712157805</v>
      </c>
      <c r="W36" s="155">
        <f t="shared" si="33"/>
        <v>0</v>
      </c>
      <c r="X36" s="155">
        <f t="shared" si="34"/>
        <v>0</v>
      </c>
      <c r="Y36" s="155">
        <f t="shared" si="35"/>
        <v>10.503405712157805</v>
      </c>
      <c r="Z36" s="176">
        <f t="shared" si="37"/>
        <v>0</v>
      </c>
      <c r="AA36" s="712">
        <f t="shared" si="38"/>
        <v>73.133186683185698</v>
      </c>
      <c r="AC36" s="163"/>
    </row>
    <row r="37" spans="1:29" x14ac:dyDescent="0.25">
      <c r="A37" s="29" t="s">
        <v>24</v>
      </c>
      <c r="B37" s="151">
        <f t="shared" si="22"/>
        <v>420215.70500000007</v>
      </c>
      <c r="C37" s="152">
        <v>31.211089475378188</v>
      </c>
      <c r="D37" s="153">
        <f t="shared" si="23"/>
        <v>6195.9969696969674</v>
      </c>
      <c r="E37" s="153">
        <f t="shared" si="24"/>
        <v>2084.727272727273</v>
      </c>
      <c r="F37" s="153">
        <f t="shared" si="25"/>
        <v>4111.2696969696945</v>
      </c>
      <c r="G37" s="158">
        <v>56.000000000000021</v>
      </c>
      <c r="H37" s="158">
        <v>0</v>
      </c>
      <c r="I37" s="158">
        <v>68.500000000000014</v>
      </c>
      <c r="J37" s="158">
        <f t="shared" si="26"/>
        <v>124.50000000000003</v>
      </c>
      <c r="K37" s="164">
        <v>0</v>
      </c>
      <c r="L37" s="711">
        <f t="shared" si="36"/>
        <v>3986.7696969696945</v>
      </c>
      <c r="P37" s="161" t="s">
        <v>24</v>
      </c>
      <c r="Q37" s="151">
        <f t="shared" si="27"/>
        <v>420215.70500000007</v>
      </c>
      <c r="R37" s="152">
        <f t="shared" si="28"/>
        <v>31.211089475378188</v>
      </c>
      <c r="S37" s="154">
        <f t="shared" si="29"/>
        <v>147.4480105329944</v>
      </c>
      <c r="T37" s="154">
        <f t="shared" si="30"/>
        <v>49.610884313028535</v>
      </c>
      <c r="U37" s="154">
        <f t="shared" si="31"/>
        <v>97.837126219965867</v>
      </c>
      <c r="V37" s="155">
        <f t="shared" si="32"/>
        <v>1.3326489070654797</v>
      </c>
      <c r="W37" s="155">
        <f t="shared" si="33"/>
        <v>0</v>
      </c>
      <c r="X37" s="155">
        <f t="shared" si="34"/>
        <v>1.6301151809640242</v>
      </c>
      <c r="Y37" s="155">
        <f t="shared" si="35"/>
        <v>2.9627640880295036</v>
      </c>
      <c r="Z37" s="176">
        <f t="shared" si="37"/>
        <v>0</v>
      </c>
      <c r="AA37" s="712">
        <f t="shared" si="38"/>
        <v>94.874362131936365</v>
      </c>
      <c r="AC37" s="163"/>
    </row>
    <row r="38" spans="1:29" x14ac:dyDescent="0.25">
      <c r="A38" s="29" t="s">
        <v>23</v>
      </c>
      <c r="B38" s="151">
        <f t="shared" si="22"/>
        <v>9197084.5200000033</v>
      </c>
      <c r="C38" s="152">
        <v>20.15162224326885</v>
      </c>
      <c r="D38" s="153">
        <f t="shared" si="23"/>
        <v>135400.15075757579</v>
      </c>
      <c r="E38" s="153">
        <f t="shared" si="24"/>
        <v>70312.824242424176</v>
      </c>
      <c r="F38" s="153">
        <f t="shared" si="25"/>
        <v>65087.32651515161</v>
      </c>
      <c r="G38" s="158">
        <v>6688.0000000000082</v>
      </c>
      <c r="H38" s="158">
        <v>6272.5200000000032</v>
      </c>
      <c r="I38" s="158">
        <v>8895.3599999999951</v>
      </c>
      <c r="J38" s="158">
        <f t="shared" si="26"/>
        <v>21855.880000000005</v>
      </c>
      <c r="K38" s="164">
        <v>0</v>
      </c>
      <c r="L38" s="711">
        <f t="shared" si="36"/>
        <v>43231.446515151605</v>
      </c>
      <c r="P38" s="161" t="s">
        <v>23</v>
      </c>
      <c r="Q38" s="151">
        <f t="shared" si="27"/>
        <v>9197084.5200000033</v>
      </c>
      <c r="R38" s="152">
        <f t="shared" si="28"/>
        <v>20.15162224326885</v>
      </c>
      <c r="S38" s="154">
        <f t="shared" si="29"/>
        <v>147.22073116011305</v>
      </c>
      <c r="T38" s="154">
        <f t="shared" si="30"/>
        <v>76.451210260731784</v>
      </c>
      <c r="U38" s="154">
        <f t="shared" si="31"/>
        <v>70.769520899381263</v>
      </c>
      <c r="V38" s="155">
        <f t="shared" si="32"/>
        <v>7.2718696728906496</v>
      </c>
      <c r="W38" s="155">
        <f t="shared" si="33"/>
        <v>6.8201178170753618</v>
      </c>
      <c r="X38" s="155">
        <f t="shared" si="34"/>
        <v>9.6719346012925325</v>
      </c>
      <c r="Y38" s="155">
        <f t="shared" si="35"/>
        <v>23.763922091258543</v>
      </c>
      <c r="Z38" s="176">
        <f t="shared" si="37"/>
        <v>0</v>
      </c>
      <c r="AA38" s="712">
        <f t="shared" si="38"/>
        <v>47.00559880812272</v>
      </c>
      <c r="AC38" s="163"/>
    </row>
    <row r="39" spans="1:29" x14ac:dyDescent="0.25">
      <c r="A39" s="145" t="s">
        <v>25</v>
      </c>
      <c r="B39" s="151">
        <f t="shared" si="22"/>
        <v>1409127.9799999997</v>
      </c>
      <c r="C39" s="152">
        <f>C50</f>
        <v>15.28</v>
      </c>
      <c r="D39" s="153">
        <f t="shared" si="23"/>
        <v>13020.642424242424</v>
      </c>
      <c r="E39" s="153">
        <f t="shared" si="24"/>
        <v>9294.9015151515177</v>
      </c>
      <c r="F39" s="153">
        <f t="shared" si="25"/>
        <v>3725.7409090909059</v>
      </c>
      <c r="G39" s="158">
        <f>G50</f>
        <v>0</v>
      </c>
      <c r="H39" s="158">
        <f>H50</f>
        <v>0</v>
      </c>
      <c r="I39" s="158">
        <f>I50</f>
        <v>0</v>
      </c>
      <c r="J39" s="158">
        <f t="shared" si="26"/>
        <v>0</v>
      </c>
      <c r="K39" s="164">
        <v>0</v>
      </c>
      <c r="L39" s="711">
        <f t="shared" si="36"/>
        <v>3725.7409090909059</v>
      </c>
      <c r="P39" s="161" t="s">
        <v>25</v>
      </c>
      <c r="Q39" s="151">
        <f t="shared" si="27"/>
        <v>1409127.9799999997</v>
      </c>
      <c r="R39" s="152">
        <f t="shared" si="28"/>
        <v>15.28</v>
      </c>
      <c r="S39" s="154">
        <f t="shared" si="29"/>
        <v>92.402128188828001</v>
      </c>
      <c r="T39" s="154">
        <f t="shared" si="30"/>
        <v>65.962081848318135</v>
      </c>
      <c r="U39" s="154">
        <f t="shared" si="31"/>
        <v>26.440046340509873</v>
      </c>
      <c r="V39" s="155">
        <f t="shared" si="32"/>
        <v>0</v>
      </c>
      <c r="W39" s="155">
        <f t="shared" si="33"/>
        <v>0</v>
      </c>
      <c r="X39" s="155">
        <f t="shared" si="34"/>
        <v>0</v>
      </c>
      <c r="Y39" s="155">
        <f t="shared" si="35"/>
        <v>0</v>
      </c>
      <c r="Z39" s="176">
        <f t="shared" si="37"/>
        <v>0</v>
      </c>
      <c r="AA39" s="712">
        <f t="shared" si="38"/>
        <v>26.440046340509873</v>
      </c>
      <c r="AC39" s="163"/>
    </row>
    <row r="40" spans="1:29" ht="16.5" customHeight="1" x14ac:dyDescent="0.25">
      <c r="A40" s="706" t="s">
        <v>10</v>
      </c>
      <c r="B40" s="166">
        <f>SUM(B30:B39)</f>
        <v>157749737.13416663</v>
      </c>
      <c r="C40" s="167">
        <v>35.32</v>
      </c>
      <c r="D40" s="168">
        <f t="shared" ref="D40:I40" si="39">SUM(D30:D39)</f>
        <v>2289428.5719696977</v>
      </c>
      <c r="E40" s="168">
        <f t="shared" si="39"/>
        <v>1111147.0303030305</v>
      </c>
      <c r="F40" s="168">
        <f t="shared" si="39"/>
        <v>1178281.5416666672</v>
      </c>
      <c r="G40" s="169">
        <f t="shared" si="39"/>
        <v>73965.963448901122</v>
      </c>
      <c r="H40" s="169">
        <f t="shared" si="39"/>
        <v>45521.210000000006</v>
      </c>
      <c r="I40" s="169">
        <f t="shared" si="39"/>
        <v>157535.12434978411</v>
      </c>
      <c r="J40" s="169">
        <f t="shared" si="26"/>
        <v>277022.29779868526</v>
      </c>
      <c r="K40" s="169">
        <f>SUM(K30:K39)</f>
        <v>80000</v>
      </c>
      <c r="L40" s="170">
        <f>SUM(L30:L39)</f>
        <v>821259.24386798195</v>
      </c>
      <c r="P40" s="706" t="s">
        <v>10</v>
      </c>
      <c r="Q40" s="166">
        <f>SUM(Q30:Q39)</f>
        <v>157749737.13416663</v>
      </c>
      <c r="R40" s="167">
        <v>35.32</v>
      </c>
      <c r="S40" s="171">
        <f t="shared" si="29"/>
        <v>145.13042072599663</v>
      </c>
      <c r="T40" s="171">
        <f t="shared" si="30"/>
        <v>70.437330070350399</v>
      </c>
      <c r="U40" s="171">
        <f t="shared" si="31"/>
        <v>74.693090655646245</v>
      </c>
      <c r="V40" s="172">
        <f t="shared" si="32"/>
        <v>4.6888169066166396</v>
      </c>
      <c r="W40" s="172">
        <f t="shared" si="33"/>
        <v>2.8856599590580667</v>
      </c>
      <c r="X40" s="172">
        <f t="shared" si="34"/>
        <v>9.9863953634230143</v>
      </c>
      <c r="Y40" s="172">
        <f t="shared" si="35"/>
        <v>17.560872229097718</v>
      </c>
      <c r="Z40" s="177">
        <f>K40/B40*10000</f>
        <v>5.0713238229969138</v>
      </c>
      <c r="AA40" s="713">
        <f>U40-Y40-Z40</f>
        <v>52.06089460355161</v>
      </c>
      <c r="AC40" s="163"/>
    </row>
    <row r="43" spans="1:29" hidden="1" x14ac:dyDescent="0.25">
      <c r="A43" t="s">
        <v>31</v>
      </c>
      <c r="B43" s="69">
        <f t="shared" ref="B43:B49" si="40">B17*$D$1</f>
        <v>760.72750000000008</v>
      </c>
      <c r="C43" s="148">
        <v>43.888125000000009</v>
      </c>
      <c r="D43" s="69">
        <v>15.272727272727275</v>
      </c>
      <c r="E43" s="69">
        <v>11.518181818181819</v>
      </c>
      <c r="F43" s="69">
        <v>3.7545454545454557</v>
      </c>
      <c r="G43" s="69"/>
      <c r="H43" s="69"/>
      <c r="I43" s="69"/>
      <c r="J43" s="69"/>
      <c r="L43" s="69">
        <v>3.7545454545454557</v>
      </c>
    </row>
    <row r="44" spans="1:29" hidden="1" x14ac:dyDescent="0.25">
      <c r="A44" t="s">
        <v>32</v>
      </c>
      <c r="B44" s="69">
        <f t="shared" si="40"/>
        <v>514240.2958333331</v>
      </c>
      <c r="C44" s="148">
        <v>18.685378286883946</v>
      </c>
      <c r="D44" s="69">
        <v>4196.5272727272722</v>
      </c>
      <c r="E44" s="69">
        <v>3370.6181818181835</v>
      </c>
      <c r="F44" s="69">
        <v>825.90909090908872</v>
      </c>
      <c r="G44" s="69"/>
      <c r="H44" s="69"/>
      <c r="I44" s="69"/>
      <c r="J44" s="69"/>
      <c r="L44" s="69">
        <v>825.90909090908872</v>
      </c>
    </row>
    <row r="45" spans="1:29" hidden="1" x14ac:dyDescent="0.25">
      <c r="A45" t="s">
        <v>33</v>
      </c>
      <c r="B45" s="69">
        <f t="shared" si="40"/>
        <v>-5.730833333333333</v>
      </c>
      <c r="C45" s="148">
        <v>-5.29</v>
      </c>
      <c r="D45" s="69">
        <v>-7.2727272727272724E-2</v>
      </c>
      <c r="E45" s="69">
        <v>2.7272727272727268E-2</v>
      </c>
      <c r="F45" s="69">
        <v>-9.9999999999999992E-2</v>
      </c>
      <c r="G45" s="69"/>
      <c r="H45" s="69"/>
      <c r="I45" s="69"/>
      <c r="J45" s="69"/>
      <c r="L45" s="69">
        <v>-9.9999999999999992E-2</v>
      </c>
    </row>
    <row r="46" spans="1:29" hidden="1" x14ac:dyDescent="0.25">
      <c r="A46" t="s">
        <v>34</v>
      </c>
      <c r="B46" s="69">
        <f t="shared" si="40"/>
        <v>95599.584166666653</v>
      </c>
      <c r="C46" s="148">
        <v>79.500693693693691</v>
      </c>
      <c r="D46" s="69">
        <v>2001.4272727272723</v>
      </c>
      <c r="E46" s="69">
        <v>1708.5272727272722</v>
      </c>
      <c r="F46" s="69">
        <v>292.90000000000009</v>
      </c>
      <c r="G46" s="69"/>
      <c r="H46" s="69"/>
      <c r="I46" s="69"/>
      <c r="J46" s="69"/>
      <c r="L46" s="69">
        <v>292.90000000000009</v>
      </c>
    </row>
    <row r="47" spans="1:29" hidden="1" x14ac:dyDescent="0.25">
      <c r="A47" t="s">
        <v>35</v>
      </c>
      <c r="B47" s="69">
        <f t="shared" si="40"/>
        <v>417277.66166666662</v>
      </c>
      <c r="C47" s="148">
        <v>15.163945513956143</v>
      </c>
      <c r="D47" s="69">
        <v>3806.7545454545448</v>
      </c>
      <c r="E47" s="69">
        <v>2583.9818181818191</v>
      </c>
      <c r="F47" s="69">
        <v>1222.7727272727257</v>
      </c>
      <c r="G47" s="69"/>
      <c r="H47" s="69"/>
      <c r="I47" s="69"/>
      <c r="J47" s="69"/>
      <c r="L47" s="69">
        <v>1222.7727272727257</v>
      </c>
    </row>
    <row r="48" spans="1:29" hidden="1" x14ac:dyDescent="0.25">
      <c r="A48" t="s">
        <v>29</v>
      </c>
      <c r="B48" s="69">
        <f t="shared" si="40"/>
        <v>340295.96250000002</v>
      </c>
      <c r="C48" s="148">
        <v>10.68324150596878</v>
      </c>
      <c r="D48" s="69">
        <v>1792.0999999999997</v>
      </c>
      <c r="E48" s="69">
        <v>801.90000000000077</v>
      </c>
      <c r="F48" s="69">
        <v>990.19999999999891</v>
      </c>
      <c r="G48" s="69"/>
      <c r="H48" s="69"/>
      <c r="I48" s="69"/>
      <c r="J48" s="69"/>
      <c r="L48" s="69">
        <v>990.19999999999891</v>
      </c>
    </row>
    <row r="49" spans="1:12" hidden="1" x14ac:dyDescent="0.25">
      <c r="A49" t="s">
        <v>30</v>
      </c>
      <c r="B49" s="69">
        <f t="shared" si="40"/>
        <v>40959.479166666657</v>
      </c>
      <c r="C49" s="148">
        <v>9.9785563473211916</v>
      </c>
      <c r="D49" s="69">
        <v>207.04545454545456</v>
      </c>
      <c r="E49" s="69">
        <v>103.3363636363637</v>
      </c>
      <c r="F49" s="69">
        <v>103.70909090909086</v>
      </c>
      <c r="G49" s="69"/>
      <c r="H49" s="69"/>
      <c r="I49" s="69"/>
      <c r="J49" s="69"/>
      <c r="L49" s="69">
        <v>103.70909090909086</v>
      </c>
    </row>
    <row r="50" spans="1:12" hidden="1" x14ac:dyDescent="0.25">
      <c r="B50" s="71">
        <f>SUM(B43:B49)</f>
        <v>1409127.9799999997</v>
      </c>
      <c r="C50" s="149">
        <v>15.28</v>
      </c>
      <c r="D50" s="71">
        <f t="shared" ref="D50:I50" si="41">SUM(D43:D49)</f>
        <v>12019.054545454544</v>
      </c>
      <c r="E50" s="71">
        <f t="shared" si="41"/>
        <v>8579.9090909090937</v>
      </c>
      <c r="F50" s="71">
        <f t="shared" si="41"/>
        <v>3439.1454545454494</v>
      </c>
      <c r="G50" s="71">
        <f t="shared" si="41"/>
        <v>0</v>
      </c>
      <c r="H50" s="71">
        <f t="shared" si="41"/>
        <v>0</v>
      </c>
      <c r="I50" s="71">
        <f t="shared" si="41"/>
        <v>0</v>
      </c>
      <c r="J50" s="71"/>
      <c r="L50" s="71">
        <f>SUM(L43:L49)</f>
        <v>3439.1454545454494</v>
      </c>
    </row>
    <row r="51" spans="1:12" hidden="1" x14ac:dyDescent="0.25"/>
    <row r="52" spans="1:12" hidden="1" x14ac:dyDescent="0.25"/>
    <row r="53" spans="1:12" hidden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6B596-30C6-466D-8EE2-7157BF1ED216}">
  <sheetPr codeName="Sheet8"/>
  <dimension ref="A1"/>
  <sheetViews>
    <sheetView showGridLines="0" zoomScale="110" zoomScaleNormal="110" workbookViewId="0">
      <selection activeCell="Y39" sqref="Y39"/>
    </sheetView>
  </sheetViews>
  <sheetFormatPr defaultRowHeight="15" x14ac:dyDescent="0.25"/>
  <cols>
    <col min="22" max="22" width="15" customWidth="1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9A67-C031-49D1-A11F-A8B0A636DA00}">
  <sheetPr codeName="Sheet1">
    <tabColor theme="9" tint="0.39997558519241921"/>
  </sheetPr>
  <dimension ref="A1:AR203"/>
  <sheetViews>
    <sheetView showGridLines="0" tabSelected="1" topLeftCell="O1" zoomScale="72" zoomScaleNormal="72" workbookViewId="0">
      <selection activeCell="AC11" sqref="AC11:AE12"/>
    </sheetView>
  </sheetViews>
  <sheetFormatPr defaultRowHeight="22.15" customHeight="1" outlineLevelRow="1" x14ac:dyDescent="0.25"/>
  <cols>
    <col min="1" max="1" width="14.5703125" bestFit="1" customWidth="1"/>
    <col min="2" max="3" width="14.5703125" customWidth="1"/>
    <col min="4" max="4" width="22.28515625" customWidth="1"/>
    <col min="5" max="5" width="13.28515625" customWidth="1"/>
    <col min="6" max="6" width="13.5703125" customWidth="1"/>
    <col min="7" max="7" width="13.42578125" customWidth="1"/>
    <col min="8" max="8" width="0.5703125" style="319" customWidth="1"/>
    <col min="9" max="10" width="13.28515625" customWidth="1"/>
    <col min="11" max="11" width="13.42578125" customWidth="1"/>
    <col min="12" max="12" width="0.85546875" style="319" customWidth="1"/>
    <col min="13" max="13" width="13.28515625" customWidth="1"/>
    <col min="14" max="14" width="13" customWidth="1"/>
    <col min="15" max="15" width="13.28515625" customWidth="1"/>
    <col min="16" max="16" width="0.5703125" style="319" customWidth="1"/>
    <col min="17" max="17" width="11.85546875" style="319" customWidth="1"/>
    <col min="18" max="19" width="10.5703125" style="319" customWidth="1"/>
    <col min="20" max="20" width="11" style="319" customWidth="1"/>
    <col min="21" max="21" width="6.5703125" style="319" customWidth="1"/>
    <col min="22" max="22" width="15" style="319" customWidth="1"/>
    <col min="23" max="40" width="6.42578125" customWidth="1"/>
  </cols>
  <sheetData>
    <row r="1" spans="1:44" ht="22.15" customHeight="1" x14ac:dyDescent="0.35">
      <c r="A1" s="364"/>
      <c r="B1" s="353"/>
      <c r="C1" s="353"/>
      <c r="D1" s="353"/>
      <c r="E1" s="472" t="s">
        <v>99</v>
      </c>
      <c r="G1" s="472" t="s">
        <v>100</v>
      </c>
      <c r="H1" s="473"/>
      <c r="I1" s="472"/>
      <c r="J1" s="472"/>
      <c r="K1" s="472"/>
      <c r="L1" s="366"/>
      <c r="M1" s="365"/>
      <c r="N1" s="365"/>
      <c r="O1" s="365"/>
      <c r="P1" s="366"/>
      <c r="Q1" s="366"/>
      <c r="R1" s="366"/>
      <c r="S1" s="366"/>
      <c r="T1" s="366"/>
      <c r="U1" s="366"/>
      <c r="V1" s="367"/>
      <c r="W1" s="353"/>
      <c r="X1" s="353"/>
      <c r="Y1" s="353"/>
      <c r="Z1" s="353"/>
      <c r="AA1" s="353"/>
      <c r="AB1" s="353"/>
      <c r="AC1" s="353"/>
      <c r="AD1" s="353"/>
      <c r="AE1" s="353"/>
      <c r="AF1" s="353"/>
      <c r="AG1" s="353"/>
      <c r="AH1" s="353"/>
      <c r="AI1" s="353"/>
      <c r="AJ1" s="353"/>
      <c r="AK1" s="353"/>
      <c r="AL1" s="353"/>
      <c r="AM1" s="353"/>
      <c r="AN1" s="353"/>
      <c r="AO1" s="354"/>
    </row>
    <row r="2" spans="1:44" s="291" customFormat="1" ht="22.15" customHeight="1" thickBot="1" x14ac:dyDescent="0.3">
      <c r="A2" s="303"/>
      <c r="H2" s="317"/>
      <c r="L2" s="317"/>
      <c r="P2" s="317"/>
      <c r="Q2" s="317"/>
      <c r="R2" s="317"/>
      <c r="S2" s="317"/>
      <c r="T2" s="317"/>
      <c r="U2" s="317"/>
      <c r="V2" s="317"/>
      <c r="AO2" s="304"/>
    </row>
    <row r="3" spans="1:44" s="291" customFormat="1" ht="42.75" customHeight="1" thickBot="1" x14ac:dyDescent="0.3">
      <c r="A3" s="303"/>
      <c r="E3" s="739" t="s">
        <v>101</v>
      </c>
      <c r="F3" s="745"/>
      <c r="G3" s="746"/>
      <c r="H3" s="323"/>
      <c r="I3" s="741" t="s">
        <v>102</v>
      </c>
      <c r="J3" s="747"/>
      <c r="K3" s="748"/>
      <c r="L3" s="323"/>
      <c r="M3" s="743" t="s">
        <v>103</v>
      </c>
      <c r="N3" s="749"/>
      <c r="O3" s="750"/>
      <c r="P3" s="323"/>
      <c r="Q3" s="323"/>
      <c r="R3" s="757" t="s">
        <v>104</v>
      </c>
      <c r="S3" s="758"/>
      <c r="T3" s="759"/>
      <c r="U3" s="323"/>
      <c r="V3" s="321"/>
      <c r="W3" s="796" t="s">
        <v>105</v>
      </c>
      <c r="X3" s="797"/>
      <c r="Y3" s="798"/>
      <c r="Z3" s="802" t="s">
        <v>51</v>
      </c>
      <c r="AA3" s="802"/>
      <c r="AB3" s="803"/>
      <c r="AC3" s="782" t="s">
        <v>106</v>
      </c>
      <c r="AD3" s="783"/>
      <c r="AE3" s="783"/>
      <c r="AF3" s="786" t="s">
        <v>107</v>
      </c>
      <c r="AG3" s="787"/>
      <c r="AH3" s="788"/>
      <c r="AI3" s="805" t="s">
        <v>108</v>
      </c>
      <c r="AJ3" s="805"/>
      <c r="AK3" s="806"/>
      <c r="AL3" s="782" t="s">
        <v>109</v>
      </c>
      <c r="AM3" s="831"/>
      <c r="AN3" s="832"/>
      <c r="AO3" s="304"/>
    </row>
    <row r="4" spans="1:44" s="291" customFormat="1" ht="30" customHeight="1" thickBot="1" x14ac:dyDescent="0.3">
      <c r="A4" s="303"/>
      <c r="E4" s="325" t="s">
        <v>110</v>
      </c>
      <c r="F4" s="739" t="s">
        <v>111</v>
      </c>
      <c r="G4" s="740"/>
      <c r="H4" s="322"/>
      <c r="I4" s="302" t="s">
        <v>110</v>
      </c>
      <c r="J4" s="741" t="s">
        <v>112</v>
      </c>
      <c r="K4" s="742"/>
      <c r="L4" s="322"/>
      <c r="M4" s="302" t="s">
        <v>110</v>
      </c>
      <c r="N4" s="743" t="s">
        <v>112</v>
      </c>
      <c r="O4" s="744"/>
      <c r="P4" s="322"/>
      <c r="Q4" s="322"/>
      <c r="R4" s="328" t="s">
        <v>110</v>
      </c>
      <c r="S4" s="760" t="s">
        <v>112</v>
      </c>
      <c r="T4" s="761"/>
      <c r="U4" s="322"/>
      <c r="V4" s="322"/>
      <c r="W4" s="799"/>
      <c r="X4" s="800"/>
      <c r="Y4" s="801"/>
      <c r="Z4" s="804"/>
      <c r="AA4" s="804"/>
      <c r="AB4" s="804"/>
      <c r="AC4" s="784"/>
      <c r="AD4" s="785"/>
      <c r="AE4" s="785"/>
      <c r="AF4" s="789"/>
      <c r="AG4" s="790"/>
      <c r="AH4" s="791"/>
      <c r="AI4" s="807"/>
      <c r="AJ4" s="807"/>
      <c r="AK4" s="807"/>
      <c r="AL4" s="833"/>
      <c r="AM4" s="834"/>
      <c r="AN4" s="834"/>
      <c r="AO4" s="304"/>
    </row>
    <row r="5" spans="1:44" s="291" customFormat="1" ht="38.25" customHeight="1" thickBot="1" x14ac:dyDescent="0.3">
      <c r="A5" s="303"/>
      <c r="B5" s="303"/>
      <c r="C5" s="303"/>
      <c r="D5" s="301" t="str">
        <f>'Working Paper 3'!$B$6</f>
        <v>Amex</v>
      </c>
      <c r="E5" s="309">
        <f>'Working Paper 3'!$C$6</f>
        <v>5.3385868718721363E-2</v>
      </c>
      <c r="F5" s="295">
        <f t="shared" ref="F5:F12" si="0">E16/10000</f>
        <v>5.3800000000000001E-2</v>
      </c>
      <c r="G5" s="293"/>
      <c r="H5" s="324"/>
      <c r="I5" s="298">
        <f>'Working Paper 3'!$E$6</f>
        <v>154.93914051185246</v>
      </c>
      <c r="J5" s="299">
        <f>I16</f>
        <v>165</v>
      </c>
      <c r="K5" s="294"/>
      <c r="L5" s="317"/>
      <c r="M5" s="298">
        <f>'Working Paper 3'!$G$6</f>
        <v>169.71789116032431</v>
      </c>
      <c r="N5" s="300">
        <f>M16</f>
        <v>170</v>
      </c>
      <c r="O5" s="294"/>
      <c r="P5" s="317"/>
      <c r="Q5" s="329" t="s">
        <v>113</v>
      </c>
      <c r="R5" s="334">
        <f>Annualized!X40</f>
        <v>9.9863953634230143</v>
      </c>
      <c r="S5" s="352">
        <f>R16/100</f>
        <v>9.99</v>
      </c>
      <c r="T5" s="330"/>
      <c r="U5" s="317"/>
      <c r="V5" s="764" t="s">
        <v>114</v>
      </c>
      <c r="W5" s="795">
        <f>J25</f>
        <v>2113315.4545454546</v>
      </c>
      <c r="X5" s="771"/>
      <c r="Y5" s="772"/>
      <c r="Z5" s="773">
        <f>N25</f>
        <v>1143195.4200000002</v>
      </c>
      <c r="AA5" s="771"/>
      <c r="AB5" s="772"/>
      <c r="AC5" s="773">
        <f>W5-Z5</f>
        <v>970120.03454545443</v>
      </c>
      <c r="AD5" s="771"/>
      <c r="AE5" s="772"/>
      <c r="AF5" s="829">
        <f>AC5/W5</f>
        <v>0.45905121852909275</v>
      </c>
      <c r="AG5" s="771"/>
      <c r="AH5" s="772"/>
      <c r="AI5" s="770">
        <f>S20</f>
        <v>255711.47738061263</v>
      </c>
      <c r="AJ5" s="771"/>
      <c r="AK5" s="772"/>
      <c r="AL5" s="773">
        <f>AC5-AI5</f>
        <v>714408.5571648418</v>
      </c>
      <c r="AM5" s="771"/>
      <c r="AN5" s="835"/>
      <c r="AO5" s="304"/>
    </row>
    <row r="6" spans="1:44" s="291" customFormat="1" ht="37.5" customHeight="1" thickBot="1" x14ac:dyDescent="0.3">
      <c r="A6" s="303"/>
      <c r="B6" s="303"/>
      <c r="C6" s="303"/>
      <c r="D6" s="301" t="str">
        <f>'Working Paper 3'!$B$7</f>
        <v>EFTPOS</v>
      </c>
      <c r="E6" s="309">
        <f>'Working Paper 3'!$C$7</f>
        <v>0.31889493108389483</v>
      </c>
      <c r="F6" s="295">
        <f t="shared" si="0"/>
        <v>0.31840000000000002</v>
      </c>
      <c r="G6" s="294"/>
      <c r="H6" s="317"/>
      <c r="I6" s="298">
        <f>'Working Paper 3'!$E$7</f>
        <v>142.99254815956868</v>
      </c>
      <c r="J6" s="299">
        <f t="shared" ref="J6:J12" si="1">I17</f>
        <v>145</v>
      </c>
      <c r="K6" s="294"/>
      <c r="L6" s="317"/>
      <c r="M6" s="298">
        <f>'Working Paper 3'!$G$7</f>
        <v>28.660658557912612</v>
      </c>
      <c r="N6" s="300">
        <f t="shared" ref="N6:N12" si="2">M17</f>
        <v>28</v>
      </c>
      <c r="O6" s="294"/>
      <c r="P6" s="317"/>
      <c r="Q6" s="329" t="s">
        <v>115</v>
      </c>
      <c r="R6" s="334">
        <f>Annualized!W40</f>
        <v>2.8856599590580667</v>
      </c>
      <c r="S6" s="352">
        <f>R17/100</f>
        <v>2.89</v>
      </c>
      <c r="T6" s="330"/>
      <c r="U6" s="317"/>
      <c r="V6" s="765"/>
      <c r="W6" s="808">
        <f>I14</f>
        <v>145.13100099066577</v>
      </c>
      <c r="X6" s="809"/>
      <c r="Y6" s="810"/>
      <c r="Z6" s="792">
        <f>M14</f>
        <v>78.508438139553675</v>
      </c>
      <c r="AA6" s="809"/>
      <c r="AB6" s="810"/>
      <c r="AC6" s="792">
        <f>W6-Z6</f>
        <v>66.622562851112093</v>
      </c>
      <c r="AD6" s="793"/>
      <c r="AE6" s="794"/>
      <c r="AF6" s="776"/>
      <c r="AG6" s="777"/>
      <c r="AH6" s="778"/>
      <c r="AI6" s="830">
        <f>R14</f>
        <v>17.560872229097722</v>
      </c>
      <c r="AJ6" s="809"/>
      <c r="AK6" s="810"/>
      <c r="AL6" s="792">
        <f>AC6-AI6</f>
        <v>49.061690622014368</v>
      </c>
      <c r="AM6" s="809"/>
      <c r="AN6" s="836"/>
      <c r="AO6" s="304"/>
    </row>
    <row r="7" spans="1:44" s="291" customFormat="1" ht="37.5" customHeight="1" thickBot="1" x14ac:dyDescent="0.3">
      <c r="A7" s="303"/>
      <c r="B7" s="303"/>
      <c r="C7" s="303"/>
      <c r="D7" s="301" t="str">
        <f>'Working Paper 3'!$B$8</f>
        <v>VC/MC Domestic Credit</v>
      </c>
      <c r="E7" s="309">
        <f>'Working Paper 3'!$C$8</f>
        <v>4.0144580364653022E-2</v>
      </c>
      <c r="F7" s="295">
        <f t="shared" si="0"/>
        <v>4.0099999999999997E-2</v>
      </c>
      <c r="G7" s="294"/>
      <c r="H7" s="317"/>
      <c r="I7" s="298">
        <f>'Working Paper 3'!$E$8</f>
        <v>143.45851781578313</v>
      </c>
      <c r="J7" s="299">
        <f t="shared" si="1"/>
        <v>146</v>
      </c>
      <c r="K7" s="294"/>
      <c r="L7" s="317"/>
      <c r="M7" s="298">
        <f>'Working Paper 3'!$G$8</f>
        <v>60.236068170372583</v>
      </c>
      <c r="N7" s="300">
        <f t="shared" si="2"/>
        <v>61</v>
      </c>
      <c r="O7" s="294"/>
      <c r="P7" s="317"/>
      <c r="Q7" s="331" t="s">
        <v>116</v>
      </c>
      <c r="R7" s="334">
        <f>Annualized!V40</f>
        <v>4.6888169066166396</v>
      </c>
      <c r="S7" s="352">
        <f>R18/100</f>
        <v>4.6900000000000004</v>
      </c>
      <c r="T7" s="330"/>
      <c r="U7" s="317"/>
      <c r="V7" s="762" t="s">
        <v>117</v>
      </c>
      <c r="W7" s="779">
        <f>K25*$S$10</f>
        <v>2132018.9372950005</v>
      </c>
      <c r="X7" s="752"/>
      <c r="Y7" s="753"/>
      <c r="Z7" s="766">
        <f>O25*$S$10</f>
        <v>1141263.2236080002</v>
      </c>
      <c r="AA7" s="752"/>
      <c r="AB7" s="753"/>
      <c r="AC7" s="766">
        <f>W7-Z7</f>
        <v>990755.71368700033</v>
      </c>
      <c r="AD7" s="752"/>
      <c r="AE7" s="752"/>
      <c r="AF7" s="811">
        <f>AC7/W7</f>
        <v>0.46470305509763521</v>
      </c>
      <c r="AG7" s="752"/>
      <c r="AH7" s="753"/>
      <c r="AI7" s="840">
        <f>T20*S10</f>
        <v>255844.39081180008</v>
      </c>
      <c r="AJ7" s="752"/>
      <c r="AK7" s="753"/>
      <c r="AL7" s="766">
        <f>AC7-AI7</f>
        <v>734911.32287520031</v>
      </c>
      <c r="AM7" s="752"/>
      <c r="AN7" s="828"/>
      <c r="AO7" s="304"/>
    </row>
    <row r="8" spans="1:44" s="291" customFormat="1" ht="37.5" customHeight="1" thickBot="1" x14ac:dyDescent="0.3">
      <c r="A8" s="303"/>
      <c r="B8" s="303"/>
      <c r="C8" s="303"/>
      <c r="D8" s="301" t="str">
        <f>'Working Paper 3'!$B$9</f>
        <v>VC/MC Domestic Debit</v>
      </c>
      <c r="E8" s="309">
        <f>'Working Paper 3'!$C$9</f>
        <v>0.22471477475541493</v>
      </c>
      <c r="F8" s="295">
        <f t="shared" si="0"/>
        <v>0.22470000000000001</v>
      </c>
      <c r="G8" s="294"/>
      <c r="H8" s="317"/>
      <c r="I8" s="298">
        <f>'Working Paper 3'!$E$9</f>
        <v>143.21774507854948</v>
      </c>
      <c r="J8" s="299">
        <f t="shared" si="1"/>
        <v>143</v>
      </c>
      <c r="K8" s="294"/>
      <c r="L8" s="317"/>
      <c r="M8" s="298">
        <f>'Working Paper 3'!$G$9</f>
        <v>65.927949272184037</v>
      </c>
      <c r="N8" s="300">
        <f t="shared" si="2"/>
        <v>66</v>
      </c>
      <c r="O8" s="294"/>
      <c r="P8" s="317"/>
      <c r="Q8" s="340"/>
      <c r="R8" s="335"/>
      <c r="S8" s="317"/>
      <c r="T8" s="336"/>
      <c r="U8" s="317"/>
      <c r="V8" s="763"/>
      <c r="W8" s="780">
        <f>J14*$S$10</f>
        <v>146.41545436823174</v>
      </c>
      <c r="X8" s="768"/>
      <c r="Y8" s="769"/>
      <c r="Z8" s="767">
        <f>N14*S10</f>
        <v>78.375745409806058</v>
      </c>
      <c r="AA8" s="768"/>
      <c r="AB8" s="769"/>
      <c r="AC8" s="767">
        <f>W8-Z8</f>
        <v>68.039708958425678</v>
      </c>
      <c r="AD8" s="768"/>
      <c r="AE8" s="768"/>
      <c r="AF8" s="816"/>
      <c r="AG8" s="817"/>
      <c r="AH8" s="818"/>
      <c r="AI8" s="819">
        <f>S14*S10</f>
        <v>17.57</v>
      </c>
      <c r="AJ8" s="768"/>
      <c r="AK8" s="768"/>
      <c r="AL8" s="767">
        <f>AC8-AI8</f>
        <v>50.469708958425677</v>
      </c>
      <c r="AM8" s="768"/>
      <c r="AN8" s="837"/>
      <c r="AO8" s="304"/>
    </row>
    <row r="9" spans="1:44" s="291" customFormat="1" ht="37.5" customHeight="1" thickBot="1" x14ac:dyDescent="0.3">
      <c r="A9" s="303"/>
      <c r="B9" s="303"/>
      <c r="C9" s="303"/>
      <c r="D9" s="301" t="str">
        <f>'Working Paper 3'!$B$10</f>
        <v>VC/MC  PemiumCredit</v>
      </c>
      <c r="E9" s="309">
        <f>'Working Paper 3'!$C$10</f>
        <v>0.25481407643310816</v>
      </c>
      <c r="F9" s="295">
        <f t="shared" si="0"/>
        <v>0.255</v>
      </c>
      <c r="G9" s="294"/>
      <c r="H9" s="317"/>
      <c r="I9" s="298">
        <f>'Working Paper 3'!$E$10</f>
        <v>148.69146331982427</v>
      </c>
      <c r="J9" s="299">
        <f t="shared" si="1"/>
        <v>149</v>
      </c>
      <c r="K9" s="294"/>
      <c r="L9" s="317"/>
      <c r="M9" s="298">
        <f>'Working Paper 3'!$G$10</f>
        <v>100.86833162399658</v>
      </c>
      <c r="N9" s="300">
        <f t="shared" si="2"/>
        <v>101</v>
      </c>
      <c r="O9" s="294"/>
      <c r="P9" s="317"/>
      <c r="Q9" s="340"/>
      <c r="R9" s="719" t="s">
        <v>118</v>
      </c>
      <c r="S9" s="720"/>
      <c r="T9" s="721"/>
      <c r="U9" s="317"/>
      <c r="V9" s="388" t="s">
        <v>119</v>
      </c>
      <c r="W9" s="751">
        <f>W5-W7</f>
        <v>-18703.482749545947</v>
      </c>
      <c r="X9" s="752"/>
      <c r="Y9" s="753"/>
      <c r="Z9" s="754">
        <f>Z5-Z7</f>
        <v>1932.1963919999544</v>
      </c>
      <c r="AA9" s="755"/>
      <c r="AB9" s="756"/>
      <c r="AC9" s="775">
        <f>AC5-AC7</f>
        <v>-20635.679141545901</v>
      </c>
      <c r="AD9" s="752"/>
      <c r="AE9" s="752"/>
      <c r="AF9" s="781"/>
      <c r="AG9" s="752"/>
      <c r="AH9" s="753"/>
      <c r="AI9" s="774">
        <f>AI5-AI7</f>
        <v>-132.91343118745135</v>
      </c>
      <c r="AJ9" s="752"/>
      <c r="AK9" s="753"/>
      <c r="AL9" s="827">
        <f>AL5-AL7</f>
        <v>-20502.765710358508</v>
      </c>
      <c r="AM9" s="752"/>
      <c r="AN9" s="828"/>
      <c r="AO9" s="304"/>
      <c r="AR9" s="310"/>
    </row>
    <row r="10" spans="1:44" s="291" customFormat="1" ht="37.5" customHeight="1" thickBot="1" x14ac:dyDescent="0.3">
      <c r="A10" s="303"/>
      <c r="B10" s="303"/>
      <c r="C10" s="303"/>
      <c r="D10" s="301" t="str">
        <f>'Working Paper 3'!$B$11</f>
        <v>VC/MC Premium Debit</v>
      </c>
      <c r="E10" s="309">
        <f>'Working Paper 3'!$C$11</f>
        <v>5.9184166091600793E-2</v>
      </c>
      <c r="F10" s="295">
        <f t="shared" si="0"/>
        <v>5.9200000000000003E-2</v>
      </c>
      <c r="G10" s="294"/>
      <c r="H10" s="317"/>
      <c r="I10" s="298">
        <f>'Working Paper 3'!$E$11</f>
        <v>142.98844600659757</v>
      </c>
      <c r="J10" s="299">
        <f t="shared" si="1"/>
        <v>143</v>
      </c>
      <c r="K10" s="294"/>
      <c r="L10" s="317"/>
      <c r="M10" s="298">
        <f>'Working Paper 3'!$G$11</f>
        <v>54.90928046317822</v>
      </c>
      <c r="N10" s="300">
        <f t="shared" si="2"/>
        <v>55</v>
      </c>
      <c r="O10" s="294"/>
      <c r="P10" s="317"/>
      <c r="Q10" s="340"/>
      <c r="R10" s="384">
        <v>1</v>
      </c>
      <c r="S10" s="384">
        <f>R22/100</f>
        <v>1</v>
      </c>
      <c r="T10" s="383"/>
      <c r="U10" s="317"/>
      <c r="V10" s="389" t="s">
        <v>120</v>
      </c>
      <c r="W10" s="735">
        <f>W6-W8</f>
        <v>-1.284453377565967</v>
      </c>
      <c r="X10" s="736"/>
      <c r="Y10" s="737"/>
      <c r="Z10" s="738">
        <f>Z6-Z8</f>
        <v>0.13269272974761748</v>
      </c>
      <c r="AA10" s="736"/>
      <c r="AB10" s="737"/>
      <c r="AC10" s="738">
        <f>AC6-AC8</f>
        <v>-1.4171461073135845</v>
      </c>
      <c r="AD10" s="736"/>
      <c r="AE10" s="736"/>
      <c r="AF10" s="729"/>
      <c r="AG10" s="730"/>
      <c r="AH10" s="731"/>
      <c r="AI10" s="732">
        <f>AI6-AI8</f>
        <v>-9.1277709022783426E-3</v>
      </c>
      <c r="AJ10" s="733"/>
      <c r="AK10" s="734"/>
      <c r="AL10" s="838">
        <f>AL6-AL8</f>
        <v>-1.4080183364113097</v>
      </c>
      <c r="AM10" s="733"/>
      <c r="AN10" s="839"/>
      <c r="AO10" s="304"/>
    </row>
    <row r="11" spans="1:44" s="291" customFormat="1" ht="37.5" customHeight="1" thickBot="1" x14ac:dyDescent="0.3">
      <c r="A11" s="303"/>
      <c r="B11" s="303"/>
      <c r="C11" s="303"/>
      <c r="D11" s="301" t="str">
        <f>'Working Paper 3'!$B$12</f>
        <v>VC/MC  Int. Credit</v>
      </c>
      <c r="E11" s="309">
        <f>'Working Paper 3'!$C$12</f>
        <v>2.4883934128316128E-2</v>
      </c>
      <c r="F11" s="295">
        <f t="shared" si="0"/>
        <v>2.4899999999999999E-2</v>
      </c>
      <c r="G11" s="294"/>
      <c r="H11" s="317"/>
      <c r="I11" s="298">
        <f>'Working Paper 3'!$E$12</f>
        <v>145.45695079148425</v>
      </c>
      <c r="J11" s="299">
        <f t="shared" si="1"/>
        <v>145</v>
      </c>
      <c r="K11" s="294"/>
      <c r="L11" s="317"/>
      <c r="M11" s="298">
        <f>'Working Paper 3'!$G$12</f>
        <v>292.619148787516</v>
      </c>
      <c r="N11" s="300">
        <f t="shared" si="2"/>
        <v>292</v>
      </c>
      <c r="O11" s="294"/>
      <c r="P11" s="317"/>
      <c r="Q11" s="340"/>
      <c r="R11" s="335"/>
      <c r="S11" s="317"/>
      <c r="T11" s="336"/>
      <c r="U11" s="317"/>
      <c r="V11" s="387"/>
      <c r="W11" s="725"/>
      <c r="X11" s="725"/>
      <c r="Y11" s="725"/>
      <c r="Z11" s="727"/>
      <c r="AA11" s="724"/>
      <c r="AB11" s="724"/>
      <c r="AC11" s="724"/>
      <c r="AD11" s="724"/>
      <c r="AE11" s="724"/>
      <c r="AF11" s="724"/>
      <c r="AG11" s="724"/>
      <c r="AH11" s="724"/>
      <c r="AI11" s="727"/>
      <c r="AJ11" s="724"/>
      <c r="AK11" s="724"/>
      <c r="AL11" s="727"/>
      <c r="AM11" s="724"/>
      <c r="AN11" s="724"/>
      <c r="AO11" s="304"/>
    </row>
    <row r="12" spans="1:44" s="291" customFormat="1" ht="37.5" customHeight="1" thickBot="1" x14ac:dyDescent="0.3">
      <c r="A12" s="303"/>
      <c r="B12" s="303"/>
      <c r="C12" s="303"/>
      <c r="D12" s="301" t="str">
        <f>'Working Paper 3'!$B$13</f>
        <v>VC/MC int.  Debit</v>
      </c>
      <c r="E12" s="309">
        <f>'Working Paper 3'!$C$13</f>
        <v>2.3977668424290749E-2</v>
      </c>
      <c r="F12" s="295">
        <f t="shared" si="0"/>
        <v>2.4E-2</v>
      </c>
      <c r="G12" s="294"/>
      <c r="H12" s="317"/>
      <c r="I12" s="298">
        <f>'Working Paper 3'!$E$13</f>
        <v>139.5775929132339</v>
      </c>
      <c r="J12" s="299">
        <f t="shared" si="1"/>
        <v>139</v>
      </c>
      <c r="K12" s="294"/>
      <c r="L12" s="317"/>
      <c r="M12" s="298">
        <f>'Working Paper 3'!$G$13</f>
        <v>285.31047780447233</v>
      </c>
      <c r="N12" s="300">
        <f t="shared" si="2"/>
        <v>285</v>
      </c>
      <c r="O12" s="294"/>
      <c r="P12" s="317"/>
      <c r="Q12" s="341"/>
      <c r="R12" s="337"/>
      <c r="S12" s="318"/>
      <c r="T12" s="338"/>
      <c r="U12" s="317"/>
      <c r="V12" s="387"/>
      <c r="W12" s="725"/>
      <c r="X12" s="725"/>
      <c r="Y12" s="725"/>
      <c r="Z12" s="724"/>
      <c r="AA12" s="724"/>
      <c r="AB12" s="724"/>
      <c r="AC12" s="724"/>
      <c r="AD12" s="724"/>
      <c r="AE12" s="724"/>
      <c r="AF12" s="724"/>
      <c r="AG12" s="724"/>
      <c r="AH12" s="724"/>
      <c r="AI12" s="724"/>
      <c r="AJ12" s="724"/>
      <c r="AK12" s="724"/>
      <c r="AL12" s="724"/>
      <c r="AM12" s="724"/>
      <c r="AN12" s="724"/>
      <c r="AO12" s="304"/>
    </row>
    <row r="13" spans="1:44" s="291" customFormat="1" ht="22.15" customHeight="1" thickBot="1" x14ac:dyDescent="0.3">
      <c r="A13" s="303"/>
      <c r="H13" s="317"/>
      <c r="L13" s="317"/>
      <c r="P13" s="317"/>
      <c r="Q13" s="317"/>
      <c r="R13" s="317"/>
      <c r="S13" s="317"/>
      <c r="T13" s="317"/>
      <c r="U13" s="317"/>
      <c r="V13" s="319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 s="304"/>
    </row>
    <row r="14" spans="1:44" s="291" customFormat="1" ht="22.15" customHeight="1" thickBot="1" x14ac:dyDescent="0.3">
      <c r="A14" s="303"/>
      <c r="E14" s="315">
        <f>SUM(E5:E13)</f>
        <v>1</v>
      </c>
      <c r="F14" s="316">
        <f>SUM(F5:F13)</f>
        <v>1.0001</v>
      </c>
      <c r="H14" s="317"/>
      <c r="I14" s="356">
        <f>J25/A25*10000</f>
        <v>145.13100099066577</v>
      </c>
      <c r="J14" s="357">
        <f>K25/A25*10000</f>
        <v>146.41545436823174</v>
      </c>
      <c r="L14" s="317"/>
      <c r="M14" s="363">
        <f>N25/A25*10000</f>
        <v>78.508438139553675</v>
      </c>
      <c r="N14" s="312">
        <f>O25/A25*10000</f>
        <v>78.375745409806058</v>
      </c>
      <c r="P14" s="317"/>
      <c r="R14" s="332">
        <f>S20/A25*10000</f>
        <v>17.560872229097722</v>
      </c>
      <c r="S14" s="417">
        <f>T20/A25*10000</f>
        <v>17.57</v>
      </c>
      <c r="U14" s="317"/>
      <c r="V14" s="319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 s="304"/>
    </row>
    <row r="15" spans="1:44" s="291" customFormat="1" ht="22.15" customHeight="1" thickBot="1" x14ac:dyDescent="0.3">
      <c r="A15" s="662" t="s">
        <v>121</v>
      </c>
      <c r="B15" s="413" t="s">
        <v>122</v>
      </c>
      <c r="C15" s="413" t="s">
        <v>123</v>
      </c>
      <c r="H15" s="317"/>
      <c r="L15" s="317"/>
      <c r="P15" s="317"/>
      <c r="Q15" s="317"/>
      <c r="R15" s="317"/>
      <c r="S15" s="418"/>
      <c r="T15" s="317"/>
      <c r="U15" s="317"/>
      <c r="V15" s="319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 s="304"/>
    </row>
    <row r="16" spans="1:44" s="291" customFormat="1" ht="22.15" customHeight="1" outlineLevel="1" thickBot="1" x14ac:dyDescent="0.3">
      <c r="A16" s="368">
        <f>'TTV By Card'!C24</f>
        <v>7773747.9000000004</v>
      </c>
      <c r="B16" s="370">
        <f>'TTV By Card'!C46</f>
        <v>1302400.9993999999</v>
      </c>
      <c r="C16" s="370">
        <f>'TTV By Card'!C55</f>
        <v>557132.03</v>
      </c>
      <c r="D16" s="291" t="s">
        <v>124</v>
      </c>
      <c r="E16" s="369">
        <v>538</v>
      </c>
      <c r="F16" s="370">
        <f>E5*$A$25</f>
        <v>7773747.9000000004</v>
      </c>
      <c r="G16" s="349">
        <f>F5*$A$25</f>
        <v>7834051.3521200018</v>
      </c>
      <c r="H16" s="317"/>
      <c r="I16" s="296">
        <v>165</v>
      </c>
      <c r="J16" s="348">
        <f>I5*A16/10000</f>
        <v>120445.7818181818</v>
      </c>
      <c r="K16" s="350">
        <f>J5*F16/10000</f>
        <v>128266.84035</v>
      </c>
      <c r="L16" s="317"/>
      <c r="M16" s="296">
        <v>170</v>
      </c>
      <c r="N16" s="348">
        <f>M5*A16/10000</f>
        <v>131934.40999999997</v>
      </c>
      <c r="O16" s="351">
        <f t="shared" ref="O16:O23" si="3">N5*F16/10000</f>
        <v>132153.71429999999</v>
      </c>
      <c r="P16" s="317"/>
      <c r="Q16" s="329" t="s">
        <v>113</v>
      </c>
      <c r="R16" s="371">
        <v>999</v>
      </c>
      <c r="S16" s="372">
        <f>R5*$A$25/10000</f>
        <v>145416.2343859275</v>
      </c>
      <c r="T16" s="373">
        <f>S5*$A$25/10000</f>
        <v>145468.72306260004</v>
      </c>
      <c r="U16" s="317"/>
      <c r="V16" s="319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 s="304"/>
    </row>
    <row r="17" spans="1:41" ht="22.15" customHeight="1" outlineLevel="1" thickBot="1" x14ac:dyDescent="0.3">
      <c r="A17" s="368">
        <f>'TTV By Card'!D24</f>
        <v>46435674.090000018</v>
      </c>
      <c r="B17" s="370">
        <f>'TTV By Card'!D46</f>
        <v>11196557.2828</v>
      </c>
      <c r="C17" s="370"/>
      <c r="D17" s="291" t="s">
        <v>3</v>
      </c>
      <c r="E17" s="369">
        <v>3184</v>
      </c>
      <c r="F17" s="370">
        <f t="shared" ref="F17:G23" si="4">E6*$A$25</f>
        <v>46435674.090000018</v>
      </c>
      <c r="G17" s="349">
        <f t="shared" si="4"/>
        <v>46363605.028160013</v>
      </c>
      <c r="I17" s="297">
        <v>145</v>
      </c>
      <c r="J17" s="348">
        <f t="shared" ref="J17:J23" si="5">I6*A17/10000</f>
        <v>663995.53636363626</v>
      </c>
      <c r="K17" s="350">
        <f t="shared" ref="K17:K23" si="6">J6*F17/10000</f>
        <v>673317.27430500032</v>
      </c>
      <c r="M17" s="297">
        <v>28</v>
      </c>
      <c r="N17" s="348">
        <f t="shared" ref="N17:N23" si="7">M6*A17/10000</f>
        <v>133087.70000000001</v>
      </c>
      <c r="O17" s="351">
        <f t="shared" si="3"/>
        <v>130019.88745200004</v>
      </c>
      <c r="Q17" s="329" t="s">
        <v>115</v>
      </c>
      <c r="R17" s="374">
        <v>289</v>
      </c>
      <c r="S17" s="372">
        <f t="shared" ref="S17:S18" si="8">R6*$A$25/10000</f>
        <v>42019.346289995163</v>
      </c>
      <c r="T17" s="373">
        <f t="shared" ref="T17:T18" si="9">S6*$A$25/10000</f>
        <v>42082.543508600014</v>
      </c>
      <c r="AO17" s="355"/>
    </row>
    <row r="18" spans="1:41" ht="22.15" customHeight="1" outlineLevel="1" thickBot="1" x14ac:dyDescent="0.3">
      <c r="A18" s="368">
        <f>'TTV By Card'!E24</f>
        <v>5845626.4700000016</v>
      </c>
      <c r="B18" s="370">
        <f>'TTV By Card'!E46</f>
        <v>1442187.4941</v>
      </c>
      <c r="C18" s="370"/>
      <c r="D18" s="291" t="s">
        <v>4</v>
      </c>
      <c r="E18" s="369">
        <v>401</v>
      </c>
      <c r="F18" s="370">
        <f t="shared" si="4"/>
        <v>5845626.4700000016</v>
      </c>
      <c r="G18" s="349">
        <f t="shared" si="4"/>
        <v>5839134.9297400005</v>
      </c>
      <c r="I18" s="297">
        <v>146</v>
      </c>
      <c r="J18" s="348">
        <f t="shared" si="5"/>
        <v>83860.490909090862</v>
      </c>
      <c r="K18" s="350">
        <f t="shared" si="6"/>
        <v>85346.146462000019</v>
      </c>
      <c r="M18" s="297">
        <v>61</v>
      </c>
      <c r="N18" s="348">
        <f t="shared" si="7"/>
        <v>35211.755454545455</v>
      </c>
      <c r="O18" s="351">
        <f t="shared" si="3"/>
        <v>35658.321467000009</v>
      </c>
      <c r="Q18" s="333" t="s">
        <v>116</v>
      </c>
      <c r="R18" s="374">
        <v>469</v>
      </c>
      <c r="S18" s="372">
        <f t="shared" si="8"/>
        <v>68275.896704689978</v>
      </c>
      <c r="T18" s="373">
        <f t="shared" si="9"/>
        <v>68293.124240600024</v>
      </c>
      <c r="AO18" s="355"/>
    </row>
    <row r="19" spans="1:41" ht="22.15" customHeight="1" outlineLevel="1" x14ac:dyDescent="0.25">
      <c r="A19" s="368">
        <f>'TTV By Card'!F24</f>
        <v>32721693.030000001</v>
      </c>
      <c r="B19" s="370">
        <f>'TTV By Card'!F46</f>
        <v>7817815.4231000002</v>
      </c>
      <c r="C19" s="370"/>
      <c r="D19" s="291" t="s">
        <v>5</v>
      </c>
      <c r="E19" s="369">
        <v>2247</v>
      </c>
      <c r="F19" s="370">
        <f t="shared" si="4"/>
        <v>32721693.030000001</v>
      </c>
      <c r="G19" s="349">
        <f t="shared" si="4"/>
        <v>32719541.61378001</v>
      </c>
      <c r="I19" s="297">
        <v>143</v>
      </c>
      <c r="J19" s="348">
        <f t="shared" si="5"/>
        <v>468632.70909090899</v>
      </c>
      <c r="K19" s="350">
        <f t="shared" si="6"/>
        <v>467920.21032900002</v>
      </c>
      <c r="M19" s="297">
        <v>66</v>
      </c>
      <c r="N19" s="348">
        <f t="shared" si="7"/>
        <v>215727.4118181818</v>
      </c>
      <c r="O19" s="351">
        <f t="shared" si="3"/>
        <v>215963.17399800001</v>
      </c>
      <c r="T19" s="246"/>
      <c r="AO19" s="355"/>
    </row>
    <row r="20" spans="1:41" ht="22.15" customHeight="1" outlineLevel="1" x14ac:dyDescent="0.25">
      <c r="A20" s="368">
        <f>'TTV By Card'!G24</f>
        <v>37104582.900000006</v>
      </c>
      <c r="B20" s="370">
        <f>'TTV By Card'!G46</f>
        <v>8636077.8311000001</v>
      </c>
      <c r="C20" s="370"/>
      <c r="D20" s="291" t="s">
        <v>125</v>
      </c>
      <c r="E20" s="369">
        <v>2550</v>
      </c>
      <c r="F20" s="370">
        <f t="shared" si="4"/>
        <v>37104582.900000006</v>
      </c>
      <c r="G20" s="349">
        <f t="shared" si="4"/>
        <v>37131656.037000008</v>
      </c>
      <c r="I20" s="297">
        <v>149</v>
      </c>
      <c r="J20" s="348">
        <f t="shared" si="5"/>
        <v>551713.47272727301</v>
      </c>
      <c r="K20" s="350">
        <f t="shared" si="6"/>
        <v>552858.28521000012</v>
      </c>
      <c r="M20" s="297">
        <v>101</v>
      </c>
      <c r="N20" s="348">
        <f t="shared" si="7"/>
        <v>374267.73727272736</v>
      </c>
      <c r="O20" s="351">
        <f t="shared" si="3"/>
        <v>374756.28729000007</v>
      </c>
      <c r="R20" s="345">
        <f>T20/A25*1000</f>
        <v>1.7570000000000001</v>
      </c>
      <c r="S20" s="377">
        <f>SUM(S16:S19)</f>
        <v>255711.47738061263</v>
      </c>
      <c r="T20" s="377">
        <f>SUM(T16:T18)</f>
        <v>255844.39081180008</v>
      </c>
      <c r="AO20" s="355"/>
    </row>
    <row r="21" spans="1:41" ht="22.15" customHeight="1" outlineLevel="1" x14ac:dyDescent="0.25">
      <c r="A21" s="368">
        <f>'TTV By Card'!H24</f>
        <v>8618063.129999999</v>
      </c>
      <c r="B21" s="370">
        <f>'TTV By Card'!H46</f>
        <v>2175214.2345999996</v>
      </c>
      <c r="C21" s="370"/>
      <c r="D21" s="291" t="s">
        <v>7</v>
      </c>
      <c r="E21" s="369">
        <v>592</v>
      </c>
      <c r="F21" s="370">
        <f t="shared" si="4"/>
        <v>8618063.129999999</v>
      </c>
      <c r="G21" s="349">
        <f t="shared" si="4"/>
        <v>8620368.7740800027</v>
      </c>
      <c r="I21" s="297">
        <v>143</v>
      </c>
      <c r="J21" s="348">
        <f t="shared" si="5"/>
        <v>123228.3454545454</v>
      </c>
      <c r="K21" s="350">
        <f t="shared" si="6"/>
        <v>123238.302759</v>
      </c>
      <c r="M21" s="297">
        <v>55</v>
      </c>
      <c r="N21" s="348">
        <f t="shared" si="7"/>
        <v>47321.164545454551</v>
      </c>
      <c r="O21" s="351">
        <f t="shared" si="3"/>
        <v>47399.347214999994</v>
      </c>
      <c r="V21" s="320"/>
      <c r="W21" s="297"/>
      <c r="X21" s="297"/>
      <c r="Y21" s="297"/>
      <c r="AO21" s="355"/>
    </row>
    <row r="22" spans="1:41" ht="22.15" customHeight="1" outlineLevel="1" x14ac:dyDescent="0.25">
      <c r="A22" s="368">
        <f>'TTV By Card'!I24</f>
        <v>3623457.5800000005</v>
      </c>
      <c r="B22" s="370">
        <f>'TTV By Card'!I46</f>
        <v>828490.68809999991</v>
      </c>
      <c r="C22" s="370"/>
      <c r="D22" s="291" t="s">
        <v>126</v>
      </c>
      <c r="E22" s="369">
        <v>249</v>
      </c>
      <c r="F22" s="370">
        <f t="shared" si="4"/>
        <v>3623457.5800000005</v>
      </c>
      <c r="G22" s="349">
        <f t="shared" si="4"/>
        <v>3625797.0012600007</v>
      </c>
      <c r="I22" s="297">
        <v>145</v>
      </c>
      <c r="J22" s="348">
        <f t="shared" si="5"/>
        <v>52705.709090909069</v>
      </c>
      <c r="K22" s="350">
        <f t="shared" si="6"/>
        <v>52540.134910000008</v>
      </c>
      <c r="M22" s="297">
        <v>292</v>
      </c>
      <c r="N22" s="348">
        <f t="shared" si="7"/>
        <v>106029.30727272728</v>
      </c>
      <c r="O22" s="351">
        <f t="shared" si="3"/>
        <v>105804.96133600001</v>
      </c>
      <c r="R22" s="386">
        <v>100</v>
      </c>
      <c r="S22" s="385">
        <f>S10*1</f>
        <v>1</v>
      </c>
      <c r="T22" s="246"/>
      <c r="AO22" s="355"/>
    </row>
    <row r="23" spans="1:41" ht="22.15" customHeight="1" outlineLevel="1" x14ac:dyDescent="0.25">
      <c r="A23" s="368">
        <f>'TTV By Card'!J24</f>
        <v>3491492.3000000003</v>
      </c>
      <c r="B23" s="370">
        <f>'TTV By Card'!J46</f>
        <v>695523.04680000001</v>
      </c>
      <c r="C23" s="370"/>
      <c r="D23" s="291" t="s">
        <v>127</v>
      </c>
      <c r="E23" s="369">
        <v>240</v>
      </c>
      <c r="F23" s="370">
        <f t="shared" si="4"/>
        <v>3491492.3000000003</v>
      </c>
      <c r="G23" s="349">
        <f t="shared" si="4"/>
        <v>3494744.0976000009</v>
      </c>
      <c r="I23" s="297">
        <v>139</v>
      </c>
      <c r="J23" s="348">
        <f t="shared" si="5"/>
        <v>48733.409090909074</v>
      </c>
      <c r="K23" s="350">
        <f t="shared" si="6"/>
        <v>48531.742970000007</v>
      </c>
      <c r="M23" s="297">
        <v>285</v>
      </c>
      <c r="N23" s="348">
        <f t="shared" si="7"/>
        <v>99615.93363636361</v>
      </c>
      <c r="O23" s="351">
        <f t="shared" si="3"/>
        <v>99507.53055000001</v>
      </c>
      <c r="T23" s="246"/>
      <c r="AO23" s="355"/>
    </row>
    <row r="24" spans="1:41" ht="22.15" customHeight="1" outlineLevel="1" x14ac:dyDescent="0.25">
      <c r="A24" s="375"/>
      <c r="E24" s="291"/>
      <c r="AO24" s="355"/>
    </row>
    <row r="25" spans="1:41" ht="22.15" customHeight="1" outlineLevel="1" x14ac:dyDescent="0.25">
      <c r="A25" s="376">
        <f>SUM(A16:A24)</f>
        <v>145614337.40000004</v>
      </c>
      <c r="B25" s="376">
        <f>SUM(B16:B24)</f>
        <v>34094267</v>
      </c>
      <c r="C25" s="342"/>
      <c r="D25" s="343"/>
      <c r="E25" s="344">
        <f>SUM(E16:E24)</f>
        <v>10001</v>
      </c>
      <c r="F25" s="342">
        <f>SUM(F16:F23)</f>
        <v>145614337.40000004</v>
      </c>
      <c r="G25" s="342">
        <f>SUM(G16:G23)</f>
        <v>145628898.83374006</v>
      </c>
      <c r="H25" s="343"/>
      <c r="I25" s="345">
        <f>J25/F25*10000</f>
        <v>145.13100099066577</v>
      </c>
      <c r="J25" s="342">
        <f>SUM(J16:J24)</f>
        <v>2113315.4545454546</v>
      </c>
      <c r="K25" s="342">
        <f>SUM(K16:K24)</f>
        <v>2132018.9372950005</v>
      </c>
      <c r="L25" s="343"/>
      <c r="M25" s="345">
        <f>N25/F25*10000</f>
        <v>78.508438139553675</v>
      </c>
      <c r="N25" s="347">
        <f>SUM(N16:N24)</f>
        <v>1143195.4200000002</v>
      </c>
      <c r="O25" s="377">
        <f>SUM(O16:O24)</f>
        <v>1141263.2236080002</v>
      </c>
      <c r="P25" s="345"/>
      <c r="Q25" s="345"/>
      <c r="U25" s="320"/>
      <c r="AO25" s="355"/>
    </row>
    <row r="26" spans="1:41" ht="22.15" customHeight="1" outlineLevel="1" thickBot="1" x14ac:dyDescent="0.3">
      <c r="A26" s="378"/>
      <c r="B26" s="379"/>
      <c r="C26" s="379"/>
      <c r="D26" s="379"/>
      <c r="E26" s="379"/>
      <c r="F26" s="379"/>
      <c r="G26" s="379"/>
      <c r="H26" s="380"/>
      <c r="I26" s="379"/>
      <c r="J26" s="379"/>
      <c r="K26" s="379"/>
      <c r="L26" s="380"/>
      <c r="M26" s="379"/>
      <c r="N26" s="381">
        <f>J25-N25</f>
        <v>970120.03454545443</v>
      </c>
      <c r="O26" s="382"/>
      <c r="P26" s="380"/>
      <c r="Q26" s="380"/>
      <c r="R26" s="380"/>
      <c r="S26" s="380"/>
      <c r="T26" s="380"/>
      <c r="U26" s="380"/>
      <c r="V26" s="380"/>
      <c r="W26" s="379"/>
      <c r="X26" s="379"/>
      <c r="Y26" s="379"/>
      <c r="Z26" s="379"/>
      <c r="AA26" s="379"/>
      <c r="AB26" s="379"/>
      <c r="AC26" s="379"/>
      <c r="AD26" s="379"/>
      <c r="AE26" s="379"/>
      <c r="AF26" s="379"/>
      <c r="AG26" s="379"/>
      <c r="AH26" s="379"/>
      <c r="AI26" s="379"/>
      <c r="AJ26" s="379"/>
      <c r="AK26" s="379"/>
      <c r="AL26" s="379"/>
      <c r="AM26" s="379"/>
      <c r="AN26" s="379"/>
      <c r="AO26" s="326"/>
    </row>
    <row r="27" spans="1:41" ht="22.15" customHeight="1" outlineLevel="1" x14ac:dyDescent="0.25">
      <c r="N27" s="149"/>
      <c r="O27" s="7"/>
    </row>
    <row r="28" spans="1:41" ht="22.15" customHeight="1" outlineLevel="1" x14ac:dyDescent="0.35">
      <c r="E28" s="468" t="s">
        <v>128</v>
      </c>
      <c r="G28" s="468" t="s">
        <v>129</v>
      </c>
      <c r="H28" s="469"/>
      <c r="I28" s="468"/>
      <c r="J28" s="468"/>
      <c r="K28" s="468"/>
      <c r="L28" s="469"/>
      <c r="M28" s="468"/>
      <c r="N28" s="471"/>
    </row>
    <row r="29" spans="1:41" ht="22.15" customHeight="1" outlineLevel="1" thickBot="1" x14ac:dyDescent="0.3">
      <c r="A29" s="291"/>
      <c r="B29" s="291"/>
      <c r="C29" s="291"/>
      <c r="D29" s="291"/>
      <c r="E29" s="291"/>
      <c r="F29" s="291"/>
      <c r="G29" s="291"/>
      <c r="H29" s="317"/>
      <c r="I29" s="291"/>
      <c r="J29" s="291"/>
      <c r="K29" s="291"/>
      <c r="L29" s="317"/>
      <c r="M29" s="291"/>
      <c r="N29" s="291"/>
      <c r="O29" s="291"/>
      <c r="P29" s="317"/>
      <c r="Q29" s="317"/>
      <c r="R29" s="317"/>
      <c r="S29" s="317"/>
      <c r="T29" s="317"/>
      <c r="U29" s="317"/>
      <c r="V29" s="317"/>
      <c r="W29" s="291"/>
      <c r="X29" s="291"/>
      <c r="Y29" s="291"/>
      <c r="Z29" s="291"/>
      <c r="AA29" s="291"/>
      <c r="AB29" s="291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91"/>
      <c r="AO29" s="291"/>
    </row>
    <row r="30" spans="1:41" ht="38.25" customHeight="1" outlineLevel="1" thickBot="1" x14ac:dyDescent="0.3">
      <c r="A30" s="291"/>
      <c r="B30" s="291"/>
      <c r="C30" s="291"/>
      <c r="D30" s="291"/>
      <c r="E30" s="739" t="s">
        <v>101</v>
      </c>
      <c r="F30" s="745"/>
      <c r="G30" s="746"/>
      <c r="H30" s="323"/>
      <c r="I30" s="741" t="s">
        <v>102</v>
      </c>
      <c r="J30" s="747"/>
      <c r="K30" s="748"/>
      <c r="L30" s="323"/>
      <c r="M30" s="743" t="s">
        <v>103</v>
      </c>
      <c r="N30" s="749"/>
      <c r="O30" s="750"/>
      <c r="P30" s="323"/>
      <c r="Q30" s="323"/>
      <c r="R30" s="757" t="s">
        <v>104</v>
      </c>
      <c r="S30" s="758"/>
      <c r="T30" s="759"/>
      <c r="U30" s="323"/>
      <c r="V30" s="321"/>
      <c r="W30" s="796" t="s">
        <v>105</v>
      </c>
      <c r="X30" s="797"/>
      <c r="Y30" s="798"/>
      <c r="Z30" s="802" t="s">
        <v>51</v>
      </c>
      <c r="AA30" s="802"/>
      <c r="AB30" s="803"/>
      <c r="AC30" s="782" t="s">
        <v>106</v>
      </c>
      <c r="AD30" s="783"/>
      <c r="AE30" s="783"/>
      <c r="AF30" s="786" t="s">
        <v>107</v>
      </c>
      <c r="AG30" s="787"/>
      <c r="AH30" s="788"/>
      <c r="AI30" s="805" t="s">
        <v>108</v>
      </c>
      <c r="AJ30" s="805"/>
      <c r="AK30" s="806"/>
      <c r="AL30" s="782" t="s">
        <v>109</v>
      </c>
      <c r="AM30" s="831"/>
      <c r="AN30" s="832"/>
      <c r="AO30" s="291"/>
    </row>
    <row r="31" spans="1:41" ht="38.65" customHeight="1" outlineLevel="1" thickBot="1" x14ac:dyDescent="0.3">
      <c r="A31" s="291"/>
      <c r="B31" s="291"/>
      <c r="C31" s="291"/>
      <c r="D31" s="291"/>
      <c r="E31" s="325" t="s">
        <v>110</v>
      </c>
      <c r="F31" s="739" t="s">
        <v>111</v>
      </c>
      <c r="G31" s="740"/>
      <c r="H31" s="322"/>
      <c r="I31" s="302" t="s">
        <v>110</v>
      </c>
      <c r="J31" s="741" t="s">
        <v>112</v>
      </c>
      <c r="K31" s="742"/>
      <c r="L31" s="322"/>
      <c r="M31" s="302" t="s">
        <v>110</v>
      </c>
      <c r="N31" s="743" t="s">
        <v>112</v>
      </c>
      <c r="O31" s="744"/>
      <c r="P31" s="322"/>
      <c r="Q31" s="322"/>
      <c r="R31" s="328" t="s">
        <v>110</v>
      </c>
      <c r="S31" s="760" t="s">
        <v>112</v>
      </c>
      <c r="T31" s="761"/>
      <c r="U31" s="322"/>
      <c r="V31" s="322"/>
      <c r="W31" s="799"/>
      <c r="X31" s="800"/>
      <c r="Y31" s="801"/>
      <c r="Z31" s="804"/>
      <c r="AA31" s="804"/>
      <c r="AB31" s="804"/>
      <c r="AC31" s="784"/>
      <c r="AD31" s="785"/>
      <c r="AE31" s="785"/>
      <c r="AF31" s="789"/>
      <c r="AG31" s="790"/>
      <c r="AH31" s="791"/>
      <c r="AI31" s="807"/>
      <c r="AJ31" s="807"/>
      <c r="AK31" s="807"/>
      <c r="AL31" s="833"/>
      <c r="AM31" s="834"/>
      <c r="AN31" s="834"/>
      <c r="AO31" s="291"/>
    </row>
    <row r="32" spans="1:41" ht="49.5" customHeight="1" outlineLevel="1" thickBot="1" x14ac:dyDescent="0.3">
      <c r="A32" s="291"/>
      <c r="B32" s="291"/>
      <c r="C32" s="291"/>
      <c r="D32" s="301" t="s">
        <v>124</v>
      </c>
      <c r="E32" s="309">
        <f>'Working Paper 3'!$C$6</f>
        <v>5.3385868718721363E-2</v>
      </c>
      <c r="F32" s="295">
        <f t="shared" ref="F32:F39" si="10">E43/10000</f>
        <v>5.3400000000000003E-2</v>
      </c>
      <c r="G32" s="293"/>
      <c r="H32" s="324"/>
      <c r="I32" s="298">
        <f>'Working Paper 3'!$E$6</f>
        <v>154.93914051185246</v>
      </c>
      <c r="J32" s="299">
        <f>I43</f>
        <v>178</v>
      </c>
      <c r="K32" s="294"/>
      <c r="L32" s="317"/>
      <c r="M32" s="298">
        <f>'Working Paper 3'!$G$6</f>
        <v>169.71789116032431</v>
      </c>
      <c r="N32" s="300">
        <f>M43</f>
        <v>170</v>
      </c>
      <c r="O32" s="294"/>
      <c r="P32" s="317"/>
      <c r="Q32" s="329" t="s">
        <v>113</v>
      </c>
      <c r="R32" s="334">
        <v>9.99</v>
      </c>
      <c r="S32" s="352">
        <f>R43/100</f>
        <v>10</v>
      </c>
      <c r="T32" s="330"/>
      <c r="U32" s="317"/>
      <c r="V32" s="764" t="s">
        <v>114</v>
      </c>
      <c r="W32" s="795">
        <f>J52</f>
        <v>2113315.4545454546</v>
      </c>
      <c r="X32" s="771"/>
      <c r="Y32" s="772"/>
      <c r="Z32" s="773">
        <f>N52</f>
        <v>1143195.4200000002</v>
      </c>
      <c r="AA32" s="771"/>
      <c r="AB32" s="772"/>
      <c r="AC32" s="773">
        <f>W32-Z32</f>
        <v>970120.03454545443</v>
      </c>
      <c r="AD32" s="771"/>
      <c r="AE32" s="772"/>
      <c r="AF32" s="829">
        <f>AC32/W32</f>
        <v>0.45905121852909275</v>
      </c>
      <c r="AG32" s="771"/>
      <c r="AH32" s="772"/>
      <c r="AI32" s="770">
        <f>S52</f>
        <v>255844.39081180008</v>
      </c>
      <c r="AJ32" s="771"/>
      <c r="AK32" s="772"/>
      <c r="AL32" s="773">
        <f>AC32-AI32</f>
        <v>714275.6437336544</v>
      </c>
      <c r="AM32" s="771"/>
      <c r="AN32" s="835"/>
      <c r="AO32" s="291"/>
    </row>
    <row r="33" spans="1:41" ht="49.5" customHeight="1" outlineLevel="1" thickBot="1" x14ac:dyDescent="0.3">
      <c r="A33" s="291"/>
      <c r="B33" s="291"/>
      <c r="C33" s="291"/>
      <c r="D33" s="301" t="s">
        <v>3</v>
      </c>
      <c r="E33" s="309">
        <f>'Working Paper 3'!$C$7</f>
        <v>0.31889493108389483</v>
      </c>
      <c r="F33" s="295">
        <f t="shared" si="10"/>
        <v>0.31890000000000002</v>
      </c>
      <c r="G33" s="294"/>
      <c r="H33" s="317"/>
      <c r="I33" s="298">
        <f>'Working Paper 3'!$E$7</f>
        <v>142.99254815956868</v>
      </c>
      <c r="J33" s="299">
        <f t="shared" ref="J33:J39" si="11">I44</f>
        <v>65</v>
      </c>
      <c r="K33" s="294"/>
      <c r="L33" s="317"/>
      <c r="M33" s="298">
        <f>'Working Paper 3'!$G$7</f>
        <v>28.660658557912612</v>
      </c>
      <c r="N33" s="300">
        <f t="shared" ref="N33:N39" si="12">M44</f>
        <v>28</v>
      </c>
      <c r="O33" s="294"/>
      <c r="P33" s="317"/>
      <c r="Q33" s="329" t="s">
        <v>115</v>
      </c>
      <c r="R33" s="334">
        <v>2.89</v>
      </c>
      <c r="S33" s="352">
        <f>R44/100</f>
        <v>2.89</v>
      </c>
      <c r="T33" s="330"/>
      <c r="U33" s="317"/>
      <c r="V33" s="765"/>
      <c r="W33" s="808">
        <f>I41</f>
        <v>145.13100099066577</v>
      </c>
      <c r="X33" s="809"/>
      <c r="Y33" s="810"/>
      <c r="Z33" s="792">
        <f>M41</f>
        <v>78.508438139553675</v>
      </c>
      <c r="AA33" s="809"/>
      <c r="AB33" s="810"/>
      <c r="AC33" s="792">
        <f>W33-Z33</f>
        <v>66.622562851112093</v>
      </c>
      <c r="AD33" s="793"/>
      <c r="AE33" s="794"/>
      <c r="AF33" s="776"/>
      <c r="AG33" s="777"/>
      <c r="AH33" s="778"/>
      <c r="AI33" s="830">
        <f>R35</f>
        <v>17.57</v>
      </c>
      <c r="AJ33" s="809"/>
      <c r="AK33" s="810"/>
      <c r="AL33" s="792">
        <f>AC33-AI33</f>
        <v>49.052562851112093</v>
      </c>
      <c r="AM33" s="809"/>
      <c r="AN33" s="836"/>
      <c r="AO33" s="291"/>
    </row>
    <row r="34" spans="1:41" ht="49.5" customHeight="1" outlineLevel="1" thickBot="1" x14ac:dyDescent="0.3">
      <c r="A34" s="291"/>
      <c r="B34" s="291"/>
      <c r="C34" s="291"/>
      <c r="D34" s="301" t="s">
        <v>4</v>
      </c>
      <c r="E34" s="309">
        <f>'Working Paper 3'!$C$8</f>
        <v>4.0144580364653022E-2</v>
      </c>
      <c r="F34" s="295">
        <f t="shared" si="10"/>
        <v>4.0099999999999997E-2</v>
      </c>
      <c r="G34" s="326"/>
      <c r="H34" s="317"/>
      <c r="I34" s="298">
        <f>'Working Paper 3'!$E$8</f>
        <v>143.45851781578313</v>
      </c>
      <c r="J34" s="299">
        <f t="shared" si="11"/>
        <v>159</v>
      </c>
      <c r="K34" s="294"/>
      <c r="L34" s="317"/>
      <c r="M34" s="298">
        <f>'Working Paper 3'!$G$8</f>
        <v>60.236068170372583</v>
      </c>
      <c r="N34" s="300">
        <f t="shared" si="12"/>
        <v>61</v>
      </c>
      <c r="O34" s="294"/>
      <c r="P34" s="317"/>
      <c r="Q34" s="331" t="s">
        <v>116</v>
      </c>
      <c r="R34" s="334">
        <v>4.6900000000000004</v>
      </c>
      <c r="S34" s="352">
        <f>R45/100</f>
        <v>4.6900000000000004</v>
      </c>
      <c r="T34" s="330"/>
      <c r="U34" s="317"/>
      <c r="V34" s="762" t="s">
        <v>130</v>
      </c>
      <c r="W34" s="779">
        <f>K52*$S$38</f>
        <v>1585347.9749640003</v>
      </c>
      <c r="X34" s="752"/>
      <c r="Y34" s="753"/>
      <c r="Z34" s="766">
        <f>O52*$S$38</f>
        <v>1141263.2236080002</v>
      </c>
      <c r="AA34" s="752"/>
      <c r="AB34" s="753"/>
      <c r="AC34" s="766">
        <f>W34-Z34</f>
        <v>444084.75135600008</v>
      </c>
      <c r="AD34" s="752"/>
      <c r="AE34" s="752"/>
      <c r="AF34" s="811">
        <f>AC34/W34</f>
        <v>0.2801181559941654</v>
      </c>
      <c r="AG34" s="752"/>
      <c r="AH34" s="753"/>
      <c r="AI34" s="840">
        <f>S52*S38</f>
        <v>255844.39081180008</v>
      </c>
      <c r="AJ34" s="752"/>
      <c r="AK34" s="753"/>
      <c r="AL34" s="766">
        <f>AC34-AI34</f>
        <v>188240.3605442</v>
      </c>
      <c r="AM34" s="752"/>
      <c r="AN34" s="828"/>
      <c r="AO34" s="291"/>
    </row>
    <row r="35" spans="1:41" ht="49.5" customHeight="1" outlineLevel="1" thickBot="1" x14ac:dyDescent="0.3">
      <c r="A35" s="291"/>
      <c r="B35" s="291"/>
      <c r="C35" s="291"/>
      <c r="D35" s="301" t="s">
        <v>5</v>
      </c>
      <c r="E35" s="309">
        <f>'Working Paper 3'!$C$9</f>
        <v>0.22471477475541493</v>
      </c>
      <c r="F35" s="295">
        <f t="shared" si="10"/>
        <v>0.22470000000000001</v>
      </c>
      <c r="G35" s="294"/>
      <c r="H35" s="317"/>
      <c r="I35" s="298">
        <f>'Working Paper 3'!$E$9</f>
        <v>143.21774507854948</v>
      </c>
      <c r="J35" s="299">
        <f t="shared" si="11"/>
        <v>65</v>
      </c>
      <c r="K35" s="294"/>
      <c r="L35" s="317"/>
      <c r="M35" s="298">
        <f>'Working Paper 3'!$G$9</f>
        <v>65.927949272184037</v>
      </c>
      <c r="N35" s="300">
        <f t="shared" si="12"/>
        <v>66</v>
      </c>
      <c r="O35" s="294"/>
      <c r="P35" s="317"/>
      <c r="Q35" s="340"/>
      <c r="R35" s="332">
        <f>S52/A52*10000</f>
        <v>17.57</v>
      </c>
      <c r="S35" s="339">
        <f>T52/A52*10000</f>
        <v>17.579999999999998</v>
      </c>
      <c r="T35" s="336"/>
      <c r="U35" s="317"/>
      <c r="V35" s="763"/>
      <c r="W35" s="780">
        <f>J41*$S$38</f>
        <v>108.87306863259468</v>
      </c>
      <c r="X35" s="768"/>
      <c r="Y35" s="769"/>
      <c r="Z35" s="767">
        <f>N41*S38</f>
        <v>78.375745409806058</v>
      </c>
      <c r="AA35" s="768"/>
      <c r="AB35" s="769"/>
      <c r="AC35" s="767">
        <f>W35-Z35</f>
        <v>30.497323222788623</v>
      </c>
      <c r="AD35" s="768"/>
      <c r="AE35" s="768"/>
      <c r="AF35" s="816"/>
      <c r="AG35" s="817"/>
      <c r="AH35" s="818"/>
      <c r="AI35" s="819">
        <f>S35*S38</f>
        <v>17.579999999999998</v>
      </c>
      <c r="AJ35" s="768"/>
      <c r="AK35" s="768"/>
      <c r="AL35" s="767">
        <f>AC35-AI35</f>
        <v>12.917323222788625</v>
      </c>
      <c r="AM35" s="768"/>
      <c r="AN35" s="837"/>
      <c r="AO35" s="291"/>
    </row>
    <row r="36" spans="1:41" ht="49.5" customHeight="1" outlineLevel="1" thickBot="1" x14ac:dyDescent="0.3">
      <c r="A36" s="291"/>
      <c r="B36" s="291"/>
      <c r="C36" s="291"/>
      <c r="D36" s="301" t="s">
        <v>125</v>
      </c>
      <c r="E36" s="309">
        <f>'Working Paper 3'!$C$10</f>
        <v>0.25481407643310816</v>
      </c>
      <c r="F36" s="295">
        <f t="shared" si="10"/>
        <v>0.25480000000000003</v>
      </c>
      <c r="G36" s="294"/>
      <c r="H36" s="317"/>
      <c r="I36" s="298">
        <f>'Working Paper 3'!$E$10</f>
        <v>148.69146331982427</v>
      </c>
      <c r="J36" s="299">
        <f t="shared" si="11"/>
        <v>159</v>
      </c>
      <c r="K36" s="294"/>
      <c r="L36" s="317"/>
      <c r="M36" s="298">
        <f>'Working Paper 3'!$G$10</f>
        <v>100.86833162399658</v>
      </c>
      <c r="N36" s="300">
        <f t="shared" si="12"/>
        <v>101</v>
      </c>
      <c r="O36" s="294"/>
      <c r="P36" s="317"/>
      <c r="Q36" s="340"/>
      <c r="T36" s="336"/>
      <c r="U36" s="317"/>
      <c r="V36" s="388" t="s">
        <v>119</v>
      </c>
      <c r="W36" s="751">
        <f t="shared" ref="W36:W37" si="13">W32-W34</f>
        <v>527967.4795814543</v>
      </c>
      <c r="X36" s="752"/>
      <c r="Y36" s="753"/>
      <c r="Z36" s="754">
        <f t="shared" ref="Z36:Z37" si="14">Z32-Z34</f>
        <v>1932.1963919999544</v>
      </c>
      <c r="AA36" s="755"/>
      <c r="AB36" s="756"/>
      <c r="AC36" s="775">
        <f t="shared" ref="AC36:AC37" si="15">AC32-AC34</f>
        <v>526035.28318945435</v>
      </c>
      <c r="AD36" s="752"/>
      <c r="AE36" s="752"/>
      <c r="AF36" s="781"/>
      <c r="AG36" s="752"/>
      <c r="AH36" s="753"/>
      <c r="AI36" s="774">
        <f t="shared" ref="AI36:AI37" si="16">AI32-AI34</f>
        <v>0</v>
      </c>
      <c r="AJ36" s="752"/>
      <c r="AK36" s="753"/>
      <c r="AL36" s="827">
        <f t="shared" ref="AL36:AL37" si="17">AL32-AL34</f>
        <v>526035.28318945435</v>
      </c>
      <c r="AM36" s="752"/>
      <c r="AN36" s="828"/>
      <c r="AO36" s="291"/>
    </row>
    <row r="37" spans="1:41" ht="49.5" customHeight="1" outlineLevel="1" thickBot="1" x14ac:dyDescent="0.3">
      <c r="A37" s="291"/>
      <c r="B37" s="291"/>
      <c r="C37" s="291"/>
      <c r="D37" s="301" t="s">
        <v>7</v>
      </c>
      <c r="E37" s="309">
        <f>'Working Paper 3'!$C$11</f>
        <v>5.9184166091600793E-2</v>
      </c>
      <c r="F37" s="295">
        <f t="shared" si="10"/>
        <v>5.9200000000000003E-2</v>
      </c>
      <c r="G37" s="294"/>
      <c r="H37" s="317"/>
      <c r="I37" s="298">
        <f>'Working Paper 3'!$E$11</f>
        <v>142.98844600659757</v>
      </c>
      <c r="J37" s="299">
        <f t="shared" si="11"/>
        <v>65</v>
      </c>
      <c r="K37" s="294"/>
      <c r="L37" s="317"/>
      <c r="M37" s="298">
        <f>'Working Paper 3'!$G$11</f>
        <v>54.90928046317822</v>
      </c>
      <c r="N37" s="300">
        <f t="shared" si="12"/>
        <v>55</v>
      </c>
      <c r="O37" s="294"/>
      <c r="P37" s="317"/>
      <c r="Q37" s="340"/>
      <c r="R37" s="719" t="s">
        <v>118</v>
      </c>
      <c r="S37" s="720"/>
      <c r="T37" s="721"/>
      <c r="U37" s="317"/>
      <c r="V37" s="389"/>
      <c r="W37" s="735">
        <f t="shared" si="13"/>
        <v>36.257932358071088</v>
      </c>
      <c r="X37" s="736"/>
      <c r="Y37" s="737"/>
      <c r="Z37" s="738">
        <f t="shared" si="14"/>
        <v>0.13269272974761748</v>
      </c>
      <c r="AA37" s="736"/>
      <c r="AB37" s="737"/>
      <c r="AC37" s="738">
        <f t="shared" si="15"/>
        <v>36.12523962832347</v>
      </c>
      <c r="AD37" s="736"/>
      <c r="AE37" s="736"/>
      <c r="AF37" s="729"/>
      <c r="AG37" s="730"/>
      <c r="AH37" s="731"/>
      <c r="AI37" s="732">
        <f t="shared" si="16"/>
        <v>-9.9999999999980105E-3</v>
      </c>
      <c r="AJ37" s="733"/>
      <c r="AK37" s="734"/>
      <c r="AL37" s="838">
        <f t="shared" si="17"/>
        <v>36.135239628323468</v>
      </c>
      <c r="AM37" s="733"/>
      <c r="AN37" s="839"/>
      <c r="AO37" s="291"/>
    </row>
    <row r="38" spans="1:41" ht="49.5" customHeight="1" outlineLevel="1" thickBot="1" x14ac:dyDescent="0.3">
      <c r="A38" s="291"/>
      <c r="B38" s="291"/>
      <c r="C38" s="291"/>
      <c r="D38" s="301" t="s">
        <v>126</v>
      </c>
      <c r="E38" s="309">
        <f>'Working Paper 3'!$C$12</f>
        <v>2.4883934128316128E-2</v>
      </c>
      <c r="F38" s="295">
        <f t="shared" si="10"/>
        <v>2.4899999999999999E-2</v>
      </c>
      <c r="G38" s="294"/>
      <c r="H38" s="317"/>
      <c r="I38" s="298">
        <f>'Working Paper 3'!$E$12</f>
        <v>145.45695079148425</v>
      </c>
      <c r="J38" s="299">
        <f t="shared" si="11"/>
        <v>272</v>
      </c>
      <c r="K38" s="294"/>
      <c r="L38" s="317"/>
      <c r="M38" s="298">
        <f>'Working Paper 3'!$G$12</f>
        <v>292.619148787516</v>
      </c>
      <c r="N38" s="300">
        <f t="shared" si="12"/>
        <v>292</v>
      </c>
      <c r="O38" s="294"/>
      <c r="P38" s="317"/>
      <c r="Q38" s="340"/>
      <c r="R38" s="384">
        <v>1</v>
      </c>
      <c r="S38" s="384">
        <f>R41/100</f>
        <v>1</v>
      </c>
      <c r="T38" s="383"/>
      <c r="U38" s="317"/>
      <c r="V38" s="416"/>
      <c r="W38" s="722"/>
      <c r="X38" s="723"/>
      <c r="Y38" s="723"/>
      <c r="Z38" s="722"/>
      <c r="AA38" s="723"/>
      <c r="AB38" s="723"/>
      <c r="AC38" s="722"/>
      <c r="AD38" s="723"/>
      <c r="AE38" s="723"/>
      <c r="AF38" s="724"/>
      <c r="AG38" s="723"/>
      <c r="AH38" s="723"/>
      <c r="AI38" s="722"/>
      <c r="AJ38" s="723"/>
      <c r="AK38" s="723"/>
      <c r="AL38" s="722"/>
      <c r="AM38" s="723"/>
      <c r="AN38" s="723"/>
      <c r="AO38" s="291"/>
    </row>
    <row r="39" spans="1:41" ht="49.5" customHeight="1" outlineLevel="1" thickBot="1" x14ac:dyDescent="0.3">
      <c r="A39" s="291"/>
      <c r="B39" s="291"/>
      <c r="C39" s="291"/>
      <c r="D39" s="301" t="s">
        <v>127</v>
      </c>
      <c r="E39" s="309">
        <f>'Working Paper 3'!$C$13</f>
        <v>2.3977668424290749E-2</v>
      </c>
      <c r="F39" s="295">
        <f t="shared" si="10"/>
        <v>2.4E-2</v>
      </c>
      <c r="G39" s="294"/>
      <c r="H39" s="317"/>
      <c r="I39" s="298">
        <f>'Working Paper 3'!$E$13</f>
        <v>139.5775929132339</v>
      </c>
      <c r="J39" s="299">
        <f t="shared" si="11"/>
        <v>272</v>
      </c>
      <c r="K39" s="294"/>
      <c r="L39" s="317"/>
      <c r="M39" s="298">
        <f>'Working Paper 3'!$G$13</f>
        <v>285.31047780447233</v>
      </c>
      <c r="N39" s="300">
        <f t="shared" si="12"/>
        <v>285</v>
      </c>
      <c r="O39" s="294"/>
      <c r="P39" s="317"/>
      <c r="Q39" s="341"/>
      <c r="R39" s="337"/>
      <c r="S39" s="318"/>
      <c r="T39" s="338"/>
      <c r="U39" s="317"/>
      <c r="V39" s="387"/>
      <c r="W39" s="725"/>
      <c r="X39" s="726"/>
      <c r="Y39" s="726"/>
      <c r="Z39" s="725"/>
      <c r="AA39" s="726"/>
      <c r="AB39" s="726"/>
      <c r="AC39" s="725"/>
      <c r="AD39" s="726"/>
      <c r="AE39" s="726"/>
      <c r="AF39" s="724"/>
      <c r="AG39" s="723"/>
      <c r="AH39" s="723"/>
      <c r="AI39" s="727"/>
      <c r="AJ39" s="728"/>
      <c r="AK39" s="728"/>
      <c r="AL39" s="727"/>
      <c r="AM39" s="728"/>
      <c r="AN39" s="728"/>
      <c r="AO39" s="291"/>
    </row>
    <row r="40" spans="1:41" ht="16.5" customHeight="1" outlineLevel="1" thickBot="1" x14ac:dyDescent="0.3">
      <c r="A40" s="291"/>
      <c r="B40" s="291"/>
      <c r="C40" s="291"/>
      <c r="D40" s="291"/>
      <c r="E40" s="291"/>
      <c r="F40" s="291"/>
      <c r="G40" s="291"/>
      <c r="H40" s="317"/>
      <c r="I40" s="291"/>
      <c r="J40" s="291"/>
      <c r="K40" s="291"/>
      <c r="L40" s="317"/>
      <c r="M40" s="291"/>
      <c r="N40" s="291"/>
      <c r="O40" s="291"/>
      <c r="P40" s="317"/>
      <c r="Q40" s="317"/>
      <c r="R40" s="317"/>
      <c r="S40" s="317"/>
      <c r="T40" s="317"/>
      <c r="U40" s="317"/>
      <c r="AO40" s="291"/>
    </row>
    <row r="41" spans="1:41" ht="38.65" customHeight="1" outlineLevel="1" thickBot="1" x14ac:dyDescent="0.3">
      <c r="A41" s="291"/>
      <c r="B41" s="291"/>
      <c r="C41" s="291"/>
      <c r="D41" s="291"/>
      <c r="E41" s="315">
        <f>SUM(E32:E40)</f>
        <v>1</v>
      </c>
      <c r="F41" s="316">
        <f>SUM(F32:F40)</f>
        <v>1</v>
      </c>
      <c r="G41" s="291"/>
      <c r="H41" s="317"/>
      <c r="I41" s="356">
        <f>J52/A52*10000</f>
        <v>145.13100099066577</v>
      </c>
      <c r="J41" s="357">
        <f>K52/A52*10000</f>
        <v>108.87306863259468</v>
      </c>
      <c r="K41" s="291"/>
      <c r="L41" s="317"/>
      <c r="M41" s="363">
        <f>N52/A52*10000</f>
        <v>78.508438139553675</v>
      </c>
      <c r="N41" s="312">
        <f>O52/A52*10000</f>
        <v>78.375745409806058</v>
      </c>
      <c r="O41" s="291"/>
      <c r="P41" s="317"/>
      <c r="Q41" s="291"/>
      <c r="R41" s="414">
        <v>100</v>
      </c>
      <c r="S41" s="415">
        <f>S38*1</f>
        <v>1</v>
      </c>
      <c r="T41" s="414"/>
      <c r="U41" s="317"/>
      <c r="AO41" s="291"/>
    </row>
    <row r="42" spans="1:41" ht="22.15" customHeight="1" thickBot="1" x14ac:dyDescent="0.3">
      <c r="A42" s="291"/>
      <c r="B42" s="291"/>
      <c r="C42" s="291"/>
      <c r="D42" s="291"/>
      <c r="E42" s="291"/>
      <c r="F42" s="291"/>
      <c r="G42" s="291"/>
      <c r="H42" s="317"/>
      <c r="I42" s="291"/>
      <c r="J42" s="291"/>
      <c r="K42" s="291"/>
      <c r="L42" s="317"/>
      <c r="M42" s="291"/>
      <c r="N42" s="291"/>
      <c r="O42" s="291"/>
      <c r="P42" s="317"/>
      <c r="Q42" s="317"/>
      <c r="R42" s="317"/>
      <c r="S42" s="317"/>
      <c r="T42" s="317"/>
      <c r="U42" s="317"/>
      <c r="AO42" s="291"/>
    </row>
    <row r="43" spans="1:41" ht="22.15" customHeight="1" outlineLevel="1" thickBot="1" x14ac:dyDescent="0.3">
      <c r="A43" s="305">
        <f>E32*'Working Paper 3'!$D$15</f>
        <v>7773747.9000000004</v>
      </c>
      <c r="B43" s="305"/>
      <c r="C43" s="305"/>
      <c r="D43" s="291" t="s">
        <v>124</v>
      </c>
      <c r="E43" s="292">
        <v>534</v>
      </c>
      <c r="F43" s="305">
        <f>E32*$A$25</f>
        <v>7773747.9000000004</v>
      </c>
      <c r="G43" s="349">
        <f>F32*$A$25</f>
        <v>7775805.6171600027</v>
      </c>
      <c r="H43" s="317"/>
      <c r="I43" s="296">
        <v>178</v>
      </c>
      <c r="J43" s="348">
        <f>I32*A43/10000</f>
        <v>120445.7818181818</v>
      </c>
      <c r="K43" s="350">
        <f>J32*F43/10000</f>
        <v>138372.71262000001</v>
      </c>
      <c r="L43" s="317"/>
      <c r="M43" s="296">
        <v>170</v>
      </c>
      <c r="N43" s="348">
        <f>M32*A43/10000</f>
        <v>131934.40999999997</v>
      </c>
      <c r="O43" s="351">
        <f t="shared" ref="O43:O50" si="18">N32*F43/10000</f>
        <v>132153.71429999999</v>
      </c>
      <c r="P43" s="317"/>
      <c r="Q43" s="329" t="s">
        <v>113</v>
      </c>
      <c r="R43" s="358">
        <v>1000</v>
      </c>
      <c r="S43" s="360">
        <f>R32*$A$25/10000</f>
        <v>145468.72306260004</v>
      </c>
      <c r="T43" s="361">
        <f>R43*F52/1000000</f>
        <v>145614.33740000002</v>
      </c>
      <c r="U43" s="317"/>
      <c r="AO43" s="291"/>
    </row>
    <row r="44" spans="1:41" ht="22.15" customHeight="1" outlineLevel="1" thickBot="1" x14ac:dyDescent="0.3">
      <c r="A44" s="305">
        <f>E33*'Working Paper 3'!$D$15</f>
        <v>46435674.090000018</v>
      </c>
      <c r="B44" s="305"/>
      <c r="C44" s="305"/>
      <c r="D44" s="291" t="s">
        <v>3</v>
      </c>
      <c r="E44" s="292">
        <v>3189</v>
      </c>
      <c r="F44" s="305">
        <f t="shared" ref="F44:G44" si="19">E33*$A$25</f>
        <v>46435674.090000018</v>
      </c>
      <c r="G44" s="349">
        <f t="shared" si="19"/>
        <v>46436412.196860015</v>
      </c>
      <c r="I44" s="297">
        <v>65</v>
      </c>
      <c r="J44" s="348">
        <f t="shared" ref="J44:J50" si="20">I33*A44/10000</f>
        <v>663995.53636363626</v>
      </c>
      <c r="K44" s="350">
        <f t="shared" ref="K44:K50" si="21">J33*F44/10000</f>
        <v>301831.88158500014</v>
      </c>
      <c r="M44" s="297">
        <v>28</v>
      </c>
      <c r="N44" s="348">
        <f t="shared" ref="N44:N50" si="22">M33*A44/10000</f>
        <v>133087.70000000001</v>
      </c>
      <c r="O44" s="351">
        <f t="shared" si="18"/>
        <v>130019.88745200004</v>
      </c>
      <c r="Q44" s="329" t="s">
        <v>115</v>
      </c>
      <c r="R44" s="359">
        <v>289</v>
      </c>
      <c r="S44" s="360">
        <f t="shared" ref="S44:S45" si="23">R33*$A$25/10000</f>
        <v>42082.543508600014</v>
      </c>
      <c r="T44" s="362">
        <f>R44*F52/1000000</f>
        <v>42082.543508600014</v>
      </c>
    </row>
    <row r="45" spans="1:41" ht="22.15" customHeight="1" outlineLevel="1" thickBot="1" x14ac:dyDescent="0.3">
      <c r="A45" s="305">
        <f>E34*'Working Paper 3'!$D$15</f>
        <v>5845626.4700000016</v>
      </c>
      <c r="B45" s="305"/>
      <c r="C45" s="305"/>
      <c r="D45" s="291" t="s">
        <v>4</v>
      </c>
      <c r="E45" s="292">
        <v>401</v>
      </c>
      <c r="F45" s="305">
        <f t="shared" ref="F45:G45" si="24">E34*$A$25</f>
        <v>5845626.4700000016</v>
      </c>
      <c r="G45" s="349">
        <f t="shared" si="24"/>
        <v>5839134.9297400005</v>
      </c>
      <c r="I45" s="297">
        <v>159</v>
      </c>
      <c r="J45" s="348">
        <f t="shared" si="20"/>
        <v>83860.490909090862</v>
      </c>
      <c r="K45" s="350">
        <f t="shared" si="21"/>
        <v>92945.460873000033</v>
      </c>
      <c r="M45" s="297">
        <v>61</v>
      </c>
      <c r="N45" s="348">
        <f t="shared" si="22"/>
        <v>35211.755454545455</v>
      </c>
      <c r="O45" s="351">
        <f t="shared" si="18"/>
        <v>35658.321467000009</v>
      </c>
      <c r="Q45" s="333" t="s">
        <v>116</v>
      </c>
      <c r="R45" s="359">
        <v>469</v>
      </c>
      <c r="S45" s="360">
        <f t="shared" si="23"/>
        <v>68293.124240600024</v>
      </c>
      <c r="T45" s="362">
        <f>R45*F52/1000000</f>
        <v>68293.124240600009</v>
      </c>
    </row>
    <row r="46" spans="1:41" ht="22.15" customHeight="1" outlineLevel="1" x14ac:dyDescent="0.25">
      <c r="A46" s="305">
        <f>E35*'Working Paper 3'!$D$15</f>
        <v>32721693.030000001</v>
      </c>
      <c r="B46" s="305"/>
      <c r="C46" s="305"/>
      <c r="D46" s="291" t="s">
        <v>5</v>
      </c>
      <c r="E46" s="292">
        <v>2247</v>
      </c>
      <c r="F46" s="305">
        <f t="shared" ref="F46:G46" si="25">E35*$A$25</f>
        <v>32721693.030000001</v>
      </c>
      <c r="G46" s="349">
        <f t="shared" si="25"/>
        <v>32719541.61378001</v>
      </c>
      <c r="I46" s="297">
        <v>65</v>
      </c>
      <c r="J46" s="348">
        <f t="shared" si="20"/>
        <v>468632.70909090899</v>
      </c>
      <c r="K46" s="350">
        <f t="shared" si="21"/>
        <v>212691.00469500001</v>
      </c>
      <c r="M46" s="297">
        <v>66</v>
      </c>
      <c r="N46" s="348">
        <f t="shared" si="22"/>
        <v>215727.4118181818</v>
      </c>
      <c r="O46" s="351">
        <f t="shared" si="18"/>
        <v>215963.17399800001</v>
      </c>
      <c r="T46" s="246"/>
    </row>
    <row r="47" spans="1:41" ht="22.15" customHeight="1" outlineLevel="1" x14ac:dyDescent="0.25">
      <c r="A47" s="305">
        <f>E36*'Working Paper 3'!$D$15</f>
        <v>37104582.900000006</v>
      </c>
      <c r="B47" s="305"/>
      <c r="C47" s="305"/>
      <c r="D47" s="291" t="s">
        <v>125</v>
      </c>
      <c r="E47" s="292">
        <v>2548</v>
      </c>
      <c r="F47" s="305">
        <f t="shared" ref="F47:G47" si="26">E36*$A$25</f>
        <v>37104582.900000006</v>
      </c>
      <c r="G47" s="349">
        <f t="shared" si="26"/>
        <v>37102533.169520013</v>
      </c>
      <c r="I47" s="297">
        <v>159</v>
      </c>
      <c r="J47" s="348">
        <f t="shared" si="20"/>
        <v>551713.47272727301</v>
      </c>
      <c r="K47" s="350">
        <f t="shared" si="21"/>
        <v>589962.86811000016</v>
      </c>
      <c r="M47" s="297">
        <v>101</v>
      </c>
      <c r="N47" s="348">
        <f t="shared" si="22"/>
        <v>374267.73727272736</v>
      </c>
      <c r="O47" s="351">
        <f t="shared" si="18"/>
        <v>374756.28729000007</v>
      </c>
      <c r="T47" s="246"/>
    </row>
    <row r="48" spans="1:41" ht="22.15" customHeight="1" outlineLevel="1" x14ac:dyDescent="0.25">
      <c r="A48" s="305">
        <f>E37*'Working Paper 3'!$D$15</f>
        <v>8618063.129999999</v>
      </c>
      <c r="B48" s="305"/>
      <c r="C48" s="305"/>
      <c r="D48" s="291" t="s">
        <v>7</v>
      </c>
      <c r="E48" s="292">
        <v>592</v>
      </c>
      <c r="F48" s="305">
        <f t="shared" ref="F48:G48" si="27">E37*$A$25</f>
        <v>8618063.129999999</v>
      </c>
      <c r="G48" s="349">
        <f t="shared" si="27"/>
        <v>8620368.7740800027</v>
      </c>
      <c r="I48" s="297">
        <v>65</v>
      </c>
      <c r="J48" s="348">
        <f t="shared" si="20"/>
        <v>123228.3454545454</v>
      </c>
      <c r="K48" s="350">
        <f t="shared" si="21"/>
        <v>56017.410344999989</v>
      </c>
      <c r="M48" s="297">
        <v>55</v>
      </c>
      <c r="N48" s="348">
        <f t="shared" si="22"/>
        <v>47321.164545454551</v>
      </c>
      <c r="O48" s="351">
        <f t="shared" si="18"/>
        <v>47399.347214999994</v>
      </c>
      <c r="T48" s="246"/>
      <c r="V48" s="320"/>
      <c r="W48" s="297"/>
      <c r="X48" s="297"/>
      <c r="Y48" s="297"/>
    </row>
    <row r="49" spans="1:41" ht="22.15" customHeight="1" outlineLevel="1" x14ac:dyDescent="0.25">
      <c r="A49" s="305">
        <f>E38*'Working Paper 3'!$D$15</f>
        <v>3623457.5800000005</v>
      </c>
      <c r="B49" s="305"/>
      <c r="C49" s="305"/>
      <c r="D49" s="291" t="s">
        <v>126</v>
      </c>
      <c r="E49" s="292">
        <v>249</v>
      </c>
      <c r="F49" s="305">
        <f t="shared" ref="F49:G49" si="28">E38*$A$25</f>
        <v>3623457.5800000005</v>
      </c>
      <c r="G49" s="349">
        <f t="shared" si="28"/>
        <v>3625797.0012600007</v>
      </c>
      <c r="I49" s="297">
        <v>272</v>
      </c>
      <c r="J49" s="348">
        <f t="shared" si="20"/>
        <v>52705.709090909069</v>
      </c>
      <c r="K49" s="350">
        <f t="shared" si="21"/>
        <v>98558.046176000018</v>
      </c>
      <c r="M49" s="297">
        <v>292</v>
      </c>
      <c r="N49" s="348">
        <f t="shared" si="22"/>
        <v>106029.30727272728</v>
      </c>
      <c r="O49" s="351">
        <f t="shared" si="18"/>
        <v>105804.96133600001</v>
      </c>
      <c r="T49" s="246"/>
    </row>
    <row r="50" spans="1:41" ht="22.15" customHeight="1" outlineLevel="1" x14ac:dyDescent="0.25">
      <c r="A50" s="305">
        <f>E39*'Working Paper 3'!$D$15</f>
        <v>3491492.3000000003</v>
      </c>
      <c r="B50" s="305"/>
      <c r="C50" s="305"/>
      <c r="D50" s="291" t="s">
        <v>127</v>
      </c>
      <c r="E50" s="292">
        <v>240</v>
      </c>
      <c r="F50" s="305">
        <f t="shared" ref="F50:G50" si="29">E39*$A$25</f>
        <v>3491492.3000000003</v>
      </c>
      <c r="G50" s="349">
        <f t="shared" si="29"/>
        <v>3494744.0976000009</v>
      </c>
      <c r="I50" s="297">
        <v>272</v>
      </c>
      <c r="J50" s="348">
        <f t="shared" si="20"/>
        <v>48733.409090909074</v>
      </c>
      <c r="K50" s="350">
        <f t="shared" si="21"/>
        <v>94968.590559999997</v>
      </c>
      <c r="M50" s="297">
        <v>285</v>
      </c>
      <c r="N50" s="348">
        <f t="shared" si="22"/>
        <v>99615.93363636361</v>
      </c>
      <c r="O50" s="351">
        <f t="shared" si="18"/>
        <v>99507.53055000001</v>
      </c>
      <c r="T50" s="246"/>
    </row>
    <row r="51" spans="1:41" ht="22.15" customHeight="1" outlineLevel="1" x14ac:dyDescent="0.25">
      <c r="E51" s="291"/>
    </row>
    <row r="52" spans="1:41" ht="22.15" customHeight="1" outlineLevel="1" x14ac:dyDescent="0.25">
      <c r="A52" s="342">
        <f>SUM(A43:A51)</f>
        <v>145614337.40000004</v>
      </c>
      <c r="B52" s="342"/>
      <c r="C52" s="342"/>
      <c r="D52" s="343"/>
      <c r="E52" s="344">
        <f>SUM(E43:E51)</f>
        <v>10000</v>
      </c>
      <c r="F52" s="342">
        <f>SUM(F43:F50)</f>
        <v>145614337.40000004</v>
      </c>
      <c r="G52" s="342">
        <f>SUM(G43:G50)</f>
        <v>145614337.40000007</v>
      </c>
      <c r="H52" s="343"/>
      <c r="I52" s="345">
        <f>J52/F52*10000</f>
        <v>145.13100099066577</v>
      </c>
      <c r="J52" s="342">
        <f>SUM(J43:J51)</f>
        <v>2113315.4545454546</v>
      </c>
      <c r="K52" s="342">
        <f>SUM(K43:K51)</f>
        <v>1585347.9749640003</v>
      </c>
      <c r="L52" s="343"/>
      <c r="M52" s="345">
        <f>N52/F52*10000</f>
        <v>78.508438139553675</v>
      </c>
      <c r="N52" s="346">
        <f>SUM(N43:N51)</f>
        <v>1143195.4200000002</v>
      </c>
      <c r="O52" s="347">
        <f>SUM(O43:O51)</f>
        <v>1141263.2236080002</v>
      </c>
      <c r="P52" s="345"/>
      <c r="Q52" s="345"/>
      <c r="R52" s="345">
        <f>S52/A52*10000</f>
        <v>17.57</v>
      </c>
      <c r="S52" s="347">
        <f>SUM(S43:S51)</f>
        <v>255844.39081180008</v>
      </c>
      <c r="T52" s="347">
        <f>SUM(T43:T50)</f>
        <v>255990.00514920003</v>
      </c>
      <c r="U52" s="320"/>
    </row>
    <row r="53" spans="1:41" ht="22.15" customHeight="1" outlineLevel="1" x14ac:dyDescent="0.25">
      <c r="N53" s="149">
        <f>J52-N52</f>
        <v>970120.03454545443</v>
      </c>
    </row>
    <row r="56" spans="1:41" ht="22.15" customHeight="1" outlineLevel="1" x14ac:dyDescent="0.25"/>
    <row r="57" spans="1:41" ht="22.15" customHeight="1" outlineLevel="1" x14ac:dyDescent="0.25"/>
    <row r="58" spans="1:41" ht="22.15" customHeight="1" outlineLevel="1" x14ac:dyDescent="0.35">
      <c r="E58" s="468" t="s">
        <v>131</v>
      </c>
      <c r="G58" s="848" t="s">
        <v>132</v>
      </c>
      <c r="H58" s="849"/>
      <c r="I58" s="849"/>
      <c r="J58" s="849"/>
      <c r="K58" s="849"/>
      <c r="L58" s="849"/>
      <c r="M58" s="849"/>
      <c r="N58" s="849"/>
      <c r="O58" s="849"/>
      <c r="P58" s="849"/>
      <c r="Q58" s="849"/>
      <c r="R58" s="849"/>
      <c r="S58" s="849"/>
    </row>
    <row r="59" spans="1:41" ht="22.15" customHeight="1" outlineLevel="1" thickBot="1" x14ac:dyDescent="0.3"/>
    <row r="60" spans="1:41" ht="22.15" customHeight="1" outlineLevel="1" thickBot="1" x14ac:dyDescent="0.3">
      <c r="A60" s="291"/>
      <c r="B60" s="291"/>
      <c r="C60" s="291"/>
      <c r="D60" s="291"/>
      <c r="E60" s="739" t="s">
        <v>101</v>
      </c>
      <c r="F60" s="745"/>
      <c r="G60" s="746"/>
      <c r="H60" s="323"/>
      <c r="I60" s="741" t="s">
        <v>102</v>
      </c>
      <c r="J60" s="747"/>
      <c r="K60" s="748"/>
      <c r="L60" s="323"/>
      <c r="M60" s="743" t="s">
        <v>103</v>
      </c>
      <c r="N60" s="749"/>
      <c r="O60" s="750"/>
      <c r="P60" s="323"/>
      <c r="Q60" s="323"/>
      <c r="R60" s="757" t="s">
        <v>104</v>
      </c>
      <c r="S60" s="758"/>
      <c r="T60" s="759"/>
      <c r="U60" s="323"/>
      <c r="V60" s="321"/>
      <c r="W60" s="820" t="s">
        <v>105</v>
      </c>
      <c r="X60" s="821"/>
      <c r="Y60" s="822"/>
      <c r="Z60" s="787" t="s">
        <v>51</v>
      </c>
      <c r="AA60" s="787"/>
      <c r="AB60" s="824"/>
      <c r="AC60" s="786" t="s">
        <v>133</v>
      </c>
      <c r="AD60" s="787"/>
      <c r="AE60" s="824"/>
      <c r="AF60" s="786" t="s">
        <v>107</v>
      </c>
      <c r="AG60" s="787"/>
      <c r="AH60" s="825"/>
      <c r="AI60" s="805" t="s">
        <v>108</v>
      </c>
      <c r="AJ60" s="805"/>
      <c r="AK60" s="806"/>
      <c r="AL60" s="782" t="s">
        <v>109</v>
      </c>
      <c r="AM60" s="831"/>
      <c r="AN60" s="832"/>
      <c r="AO60" s="291"/>
    </row>
    <row r="61" spans="1:41" ht="22.15" customHeight="1" outlineLevel="1" thickBot="1" x14ac:dyDescent="0.3">
      <c r="A61" s="291"/>
      <c r="B61" s="291"/>
      <c r="C61" s="291"/>
      <c r="D61" s="291"/>
      <c r="E61" s="325" t="s">
        <v>110</v>
      </c>
      <c r="F61" s="739" t="s">
        <v>111</v>
      </c>
      <c r="G61" s="740"/>
      <c r="H61" s="322"/>
      <c r="I61" s="302" t="s">
        <v>110</v>
      </c>
      <c r="J61" s="741" t="s">
        <v>112</v>
      </c>
      <c r="K61" s="742"/>
      <c r="L61" s="322"/>
      <c r="M61" s="302" t="s">
        <v>110</v>
      </c>
      <c r="N61" s="743" t="s">
        <v>112</v>
      </c>
      <c r="O61" s="744"/>
      <c r="P61" s="322"/>
      <c r="Q61" s="322"/>
      <c r="R61" s="328" t="s">
        <v>110</v>
      </c>
      <c r="S61" s="760" t="s">
        <v>112</v>
      </c>
      <c r="T61" s="761"/>
      <c r="U61" s="322"/>
      <c r="V61" s="322"/>
      <c r="W61" s="823"/>
      <c r="X61" s="790"/>
      <c r="Y61" s="791"/>
      <c r="Z61" s="790"/>
      <c r="AA61" s="790"/>
      <c r="AB61" s="790"/>
      <c r="AC61" s="789"/>
      <c r="AD61" s="790"/>
      <c r="AE61" s="790"/>
      <c r="AF61" s="789"/>
      <c r="AG61" s="790"/>
      <c r="AH61" s="826"/>
      <c r="AI61" s="807"/>
      <c r="AJ61" s="807"/>
      <c r="AK61" s="807"/>
      <c r="AL61" s="833"/>
      <c r="AM61" s="834"/>
      <c r="AN61" s="834"/>
      <c r="AO61" s="291"/>
    </row>
    <row r="62" spans="1:41" ht="54.95" customHeight="1" outlineLevel="1" thickBot="1" x14ac:dyDescent="0.3">
      <c r="A62" s="291"/>
      <c r="B62" s="291"/>
      <c r="C62" s="291"/>
      <c r="D62" s="301" t="s">
        <v>124</v>
      </c>
      <c r="E62" s="309">
        <f>'Working Paper 3'!$C$6</f>
        <v>5.3385868718721363E-2</v>
      </c>
      <c r="F62" s="295">
        <f t="shared" ref="F62:F69" si="30">E73/10000</f>
        <v>5.3400000000000003E-2</v>
      </c>
      <c r="G62" s="293"/>
      <c r="H62" s="324"/>
      <c r="I62" s="298">
        <f>'Working Paper 3'!$E$6</f>
        <v>154.93914051185246</v>
      </c>
      <c r="J62" s="299">
        <f>I73</f>
        <v>178</v>
      </c>
      <c r="K62" s="294"/>
      <c r="L62" s="317"/>
      <c r="M62" s="298">
        <f>'Working Paper 3'!$G$6</f>
        <v>169.71789116032431</v>
      </c>
      <c r="N62" s="300">
        <f>M73</f>
        <v>170</v>
      </c>
      <c r="O62" s="294"/>
      <c r="P62" s="317"/>
      <c r="Q62" s="329" t="s">
        <v>113</v>
      </c>
      <c r="R62" s="334">
        <v>9.99</v>
      </c>
      <c r="S62" s="352">
        <f>R73/100</f>
        <v>9.99</v>
      </c>
      <c r="T62" s="330"/>
      <c r="U62" s="317"/>
      <c r="V62" s="814" t="s">
        <v>110</v>
      </c>
      <c r="W62" s="844">
        <f>'Working Paper 3'!$F$15</f>
        <v>2113315.4545454546</v>
      </c>
      <c r="X62" s="842"/>
      <c r="Y62" s="845"/>
      <c r="Z62" s="846">
        <f>'Working Paper 3'!$H$15</f>
        <v>1143195.4200000002</v>
      </c>
      <c r="AA62" s="842"/>
      <c r="AB62" s="845"/>
      <c r="AC62" s="846">
        <f>'Working Paper 3'!$J$15</f>
        <v>970120.0345454542</v>
      </c>
      <c r="AD62" s="842"/>
      <c r="AE62" s="845"/>
      <c r="AF62" s="847">
        <f>'Working Paper 3'!$J$15/'Working Paper 3'!$F$15</f>
        <v>0.45905121852909264</v>
      </c>
      <c r="AG62" s="842"/>
      <c r="AH62" s="843"/>
      <c r="AI62" s="844">
        <f>S82</f>
        <v>255844.39081180008</v>
      </c>
      <c r="AJ62" s="842"/>
      <c r="AK62" s="842"/>
      <c r="AL62" s="841">
        <f>AC62-AI62</f>
        <v>714275.64373365417</v>
      </c>
      <c r="AM62" s="842"/>
      <c r="AN62" s="843"/>
      <c r="AO62" s="291"/>
    </row>
    <row r="63" spans="1:41" ht="54.95" customHeight="1" outlineLevel="1" thickBot="1" x14ac:dyDescent="0.3">
      <c r="A63" s="291"/>
      <c r="B63" s="291"/>
      <c r="C63" s="291"/>
      <c r="D63" s="301" t="s">
        <v>3</v>
      </c>
      <c r="E63" s="309">
        <f>'Working Paper 3'!$C$7</f>
        <v>0.31889493108389483</v>
      </c>
      <c r="F63" s="295">
        <f t="shared" si="30"/>
        <v>0.31890000000000002</v>
      </c>
      <c r="G63" s="294"/>
      <c r="H63" s="317"/>
      <c r="I63" s="298">
        <f>'Working Paper 3'!$E$7</f>
        <v>142.99254815956868</v>
      </c>
      <c r="J63" s="299">
        <f t="shared" ref="J63:J69" si="31">I74</f>
        <v>65</v>
      </c>
      <c r="K63" s="294"/>
      <c r="L63" s="317"/>
      <c r="M63" s="298">
        <f>'Working Paper 3'!$G$7</f>
        <v>28.660658557912612</v>
      </c>
      <c r="N63" s="300">
        <f t="shared" ref="N63:N69" si="32">M74</f>
        <v>28</v>
      </c>
      <c r="O63" s="294"/>
      <c r="P63" s="317"/>
      <c r="Q63" s="329" t="s">
        <v>115</v>
      </c>
      <c r="R63" s="334">
        <v>2.89</v>
      </c>
      <c r="S63" s="352">
        <f>R74/100</f>
        <v>2.89</v>
      </c>
      <c r="T63" s="330"/>
      <c r="U63" s="317"/>
      <c r="V63" s="815"/>
      <c r="W63" s="808">
        <f>I71</f>
        <v>145.13100099066577</v>
      </c>
      <c r="X63" s="809"/>
      <c r="Y63" s="810"/>
      <c r="Z63" s="792">
        <f>M71</f>
        <v>78.508438139553675</v>
      </c>
      <c r="AA63" s="809"/>
      <c r="AB63" s="810"/>
      <c r="AC63" s="792">
        <f>W63-Z63</f>
        <v>66.622562851112093</v>
      </c>
      <c r="AD63" s="793"/>
      <c r="AE63" s="794"/>
      <c r="AF63" s="776"/>
      <c r="AG63" s="777"/>
      <c r="AH63" s="778"/>
      <c r="AI63" s="830">
        <f>R65</f>
        <v>17.57</v>
      </c>
      <c r="AJ63" s="809"/>
      <c r="AK63" s="810"/>
      <c r="AL63" s="792">
        <f>AC63-AI63</f>
        <v>49.052562851112093</v>
      </c>
      <c r="AM63" s="809"/>
      <c r="AN63" s="836"/>
      <c r="AO63" s="291"/>
    </row>
    <row r="64" spans="1:41" ht="54.95" customHeight="1" outlineLevel="1" thickBot="1" x14ac:dyDescent="0.3">
      <c r="A64" s="291"/>
      <c r="B64" s="291"/>
      <c r="C64" s="291"/>
      <c r="D64" s="301" t="s">
        <v>4</v>
      </c>
      <c r="E64" s="309">
        <f>'Working Paper 3'!$C$8</f>
        <v>4.0144580364653022E-2</v>
      </c>
      <c r="F64" s="295">
        <f t="shared" si="30"/>
        <v>4.0099999999999997E-2</v>
      </c>
      <c r="G64" s="326"/>
      <c r="H64" s="317"/>
      <c r="I64" s="298">
        <f>'Working Paper 3'!$E$8</f>
        <v>143.45851781578313</v>
      </c>
      <c r="J64" s="299">
        <f t="shared" si="31"/>
        <v>159</v>
      </c>
      <c r="K64" s="294"/>
      <c r="L64" s="317"/>
      <c r="M64" s="298">
        <f>'Working Paper 3'!$G$8</f>
        <v>60.236068170372583</v>
      </c>
      <c r="N64" s="300">
        <f t="shared" si="32"/>
        <v>60</v>
      </c>
      <c r="O64" s="294"/>
      <c r="P64" s="317"/>
      <c r="Q64" s="331" t="s">
        <v>116</v>
      </c>
      <c r="R64" s="334">
        <v>4.6900000000000004</v>
      </c>
      <c r="S64" s="352">
        <f>R75/100</f>
        <v>4.6900000000000004</v>
      </c>
      <c r="T64" s="330"/>
      <c r="U64" s="317"/>
      <c r="V64" s="812" t="s">
        <v>134</v>
      </c>
      <c r="W64" s="779">
        <f>K82*S68</f>
        <v>1585010.6064556264</v>
      </c>
      <c r="X64" s="752"/>
      <c r="Y64" s="753"/>
      <c r="Z64" s="766">
        <f>O82*S68</f>
        <v>1005079.6656095162</v>
      </c>
      <c r="AA64" s="752"/>
      <c r="AB64" s="753"/>
      <c r="AC64" s="766">
        <f>W64-Z64</f>
        <v>579930.94084611023</v>
      </c>
      <c r="AD64" s="752"/>
      <c r="AE64" s="753"/>
      <c r="AF64" s="811">
        <f>AC64/K82</f>
        <v>0.36588458050949063</v>
      </c>
      <c r="AG64" s="752"/>
      <c r="AH64" s="828"/>
      <c r="AI64" s="779">
        <f>S82*S68</f>
        <v>255844.39081180008</v>
      </c>
      <c r="AJ64" s="752"/>
      <c r="AK64" s="752"/>
      <c r="AL64" s="840">
        <f>AC64-AI64</f>
        <v>324086.55003431014</v>
      </c>
      <c r="AM64" s="752"/>
      <c r="AN64" s="828"/>
      <c r="AO64" s="291"/>
    </row>
    <row r="65" spans="1:41" ht="49.5" customHeight="1" outlineLevel="1" thickBot="1" x14ac:dyDescent="0.3">
      <c r="A65" s="291"/>
      <c r="B65" s="291"/>
      <c r="C65" s="291"/>
      <c r="D65" s="301" t="s">
        <v>5</v>
      </c>
      <c r="E65" s="309">
        <f>'Working Paper 3'!$C$9</f>
        <v>0.22471477475541493</v>
      </c>
      <c r="F65" s="295">
        <f t="shared" si="30"/>
        <v>0.22470000000000001</v>
      </c>
      <c r="G65" s="294"/>
      <c r="H65" s="317"/>
      <c r="I65" s="298">
        <f>'Working Paper 3'!$E$9</f>
        <v>143.21774507854948</v>
      </c>
      <c r="J65" s="299">
        <f t="shared" si="31"/>
        <v>65</v>
      </c>
      <c r="K65" s="294"/>
      <c r="L65" s="317"/>
      <c r="M65" s="298">
        <f>'Working Paper 3'!$G$9</f>
        <v>65.927949272184037</v>
      </c>
      <c r="N65" s="300">
        <f t="shared" si="32"/>
        <v>66</v>
      </c>
      <c r="O65" s="294"/>
      <c r="P65" s="317"/>
      <c r="Q65" s="340"/>
      <c r="R65" s="332">
        <f>S82/A82*10000</f>
        <v>17.57</v>
      </c>
      <c r="S65" s="339">
        <f>T82/A82*10000</f>
        <v>17.568243000000006</v>
      </c>
      <c r="T65" s="336"/>
      <c r="U65" s="317"/>
      <c r="V65" s="813"/>
      <c r="W65" s="780">
        <f>J71*$S$68</f>
        <v>108.86078607860786</v>
      </c>
      <c r="X65" s="768"/>
      <c r="Y65" s="769"/>
      <c r="Z65" s="767">
        <f>N71*S68</f>
        <v>69.030303030303017</v>
      </c>
      <c r="AA65" s="768"/>
      <c r="AB65" s="769"/>
      <c r="AC65" s="767">
        <f>W65-Z65</f>
        <v>39.830483048304842</v>
      </c>
      <c r="AD65" s="768"/>
      <c r="AE65" s="768"/>
      <c r="AF65" s="816"/>
      <c r="AG65" s="817"/>
      <c r="AH65" s="818"/>
      <c r="AI65" s="819">
        <f>S65*S68</f>
        <v>17.568243000000006</v>
      </c>
      <c r="AJ65" s="768"/>
      <c r="AK65" s="768"/>
      <c r="AL65" s="767">
        <f>AC65-AI65</f>
        <v>22.262240048304836</v>
      </c>
      <c r="AM65" s="768"/>
      <c r="AN65" s="837"/>
      <c r="AO65" s="291"/>
    </row>
    <row r="66" spans="1:41" ht="49.5" customHeight="1" outlineLevel="1" thickBot="1" x14ac:dyDescent="0.3">
      <c r="A66" s="291"/>
      <c r="B66" s="291"/>
      <c r="C66" s="291"/>
      <c r="D66" s="301" t="s">
        <v>125</v>
      </c>
      <c r="E66" s="309">
        <f>'Working Paper 3'!$C$10</f>
        <v>0.25481407643310816</v>
      </c>
      <c r="F66" s="295">
        <f t="shared" si="30"/>
        <v>0.25480000000000003</v>
      </c>
      <c r="G66" s="294"/>
      <c r="H66" s="317"/>
      <c r="I66" s="298">
        <f>'Working Paper 3'!$E$10</f>
        <v>148.69146331982427</v>
      </c>
      <c r="J66" s="299">
        <f t="shared" si="31"/>
        <v>159</v>
      </c>
      <c r="K66" s="294"/>
      <c r="L66" s="317"/>
      <c r="M66" s="298">
        <f>'Working Paper 3'!$G$10</f>
        <v>100.86833162399658</v>
      </c>
      <c r="N66" s="300">
        <f t="shared" si="32"/>
        <v>70</v>
      </c>
      <c r="O66" s="294"/>
      <c r="P66" s="317"/>
      <c r="Q66" s="340"/>
      <c r="T66" s="336"/>
      <c r="U66" s="317"/>
      <c r="V66" s="428" t="s">
        <v>119</v>
      </c>
      <c r="W66" s="751">
        <f t="shared" ref="W66:W67" si="33">W62-W64</f>
        <v>528304.84808982816</v>
      </c>
      <c r="X66" s="752"/>
      <c r="Y66" s="753"/>
      <c r="Z66" s="754">
        <f t="shared" ref="Z66:Z67" si="34">Z62-Z64</f>
        <v>138115.75439048395</v>
      </c>
      <c r="AA66" s="755"/>
      <c r="AB66" s="756"/>
      <c r="AC66" s="775">
        <f t="shared" ref="AC66:AC67" si="35">AC62-AC64</f>
        <v>390189.09369934397</v>
      </c>
      <c r="AD66" s="752"/>
      <c r="AE66" s="752"/>
      <c r="AF66" s="781"/>
      <c r="AG66" s="752"/>
      <c r="AH66" s="753"/>
      <c r="AI66" s="774">
        <f t="shared" ref="AI66:AI67" si="36">AI62-AI64</f>
        <v>0</v>
      </c>
      <c r="AJ66" s="752"/>
      <c r="AK66" s="753"/>
      <c r="AL66" s="827">
        <f t="shared" ref="AL66:AL67" si="37">AL62-AL64</f>
        <v>390189.09369934403</v>
      </c>
      <c r="AM66" s="752"/>
      <c r="AN66" s="828"/>
      <c r="AO66" s="291"/>
    </row>
    <row r="67" spans="1:41" ht="49.5" customHeight="1" outlineLevel="1" thickBot="1" x14ac:dyDescent="0.3">
      <c r="A67" s="291"/>
      <c r="B67" s="291"/>
      <c r="C67" s="291"/>
      <c r="D67" s="301" t="s">
        <v>7</v>
      </c>
      <c r="E67" s="309">
        <f>'Working Paper 3'!$C$11</f>
        <v>5.9184166091600793E-2</v>
      </c>
      <c r="F67" s="295">
        <f t="shared" si="30"/>
        <v>5.9200000000000003E-2</v>
      </c>
      <c r="G67" s="294"/>
      <c r="H67" s="317"/>
      <c r="I67" s="298">
        <f>'Working Paper 3'!$E$11</f>
        <v>142.98844600659757</v>
      </c>
      <c r="J67" s="299">
        <f t="shared" si="31"/>
        <v>65</v>
      </c>
      <c r="K67" s="294"/>
      <c r="L67" s="317"/>
      <c r="M67" s="298">
        <f>'Working Paper 3'!$G$11</f>
        <v>54.90928046317822</v>
      </c>
      <c r="N67" s="300">
        <f t="shared" si="32"/>
        <v>55</v>
      </c>
      <c r="O67" s="294"/>
      <c r="P67" s="317"/>
      <c r="Q67" s="340"/>
      <c r="R67" s="719" t="s">
        <v>118</v>
      </c>
      <c r="S67" s="720"/>
      <c r="T67" s="721"/>
      <c r="U67" s="317"/>
      <c r="V67" s="429" t="s">
        <v>120</v>
      </c>
      <c r="W67" s="735">
        <f t="shared" si="33"/>
        <v>36.270214912057909</v>
      </c>
      <c r="X67" s="736"/>
      <c r="Y67" s="737"/>
      <c r="Z67" s="738">
        <f t="shared" si="34"/>
        <v>9.4781351092506583</v>
      </c>
      <c r="AA67" s="736"/>
      <c r="AB67" s="737"/>
      <c r="AC67" s="738">
        <f t="shared" si="35"/>
        <v>26.792079802807251</v>
      </c>
      <c r="AD67" s="736"/>
      <c r="AE67" s="736"/>
      <c r="AF67" s="729"/>
      <c r="AG67" s="730"/>
      <c r="AH67" s="731"/>
      <c r="AI67" s="732">
        <f t="shared" si="36"/>
        <v>1.7569999999942354E-3</v>
      </c>
      <c r="AJ67" s="733"/>
      <c r="AK67" s="734"/>
      <c r="AL67" s="838">
        <f t="shared" si="37"/>
        <v>26.790322802807257</v>
      </c>
      <c r="AM67" s="733"/>
      <c r="AN67" s="839"/>
      <c r="AO67" s="291"/>
    </row>
    <row r="68" spans="1:41" ht="49.5" customHeight="1" outlineLevel="1" thickBot="1" x14ac:dyDescent="0.3">
      <c r="A68" s="291"/>
      <c r="B68" s="291"/>
      <c r="C68" s="291"/>
      <c r="D68" s="301" t="s">
        <v>126</v>
      </c>
      <c r="E68" s="309">
        <f>'Working Paper 3'!$C$12</f>
        <v>2.4883934128316128E-2</v>
      </c>
      <c r="F68" s="295">
        <f t="shared" si="30"/>
        <v>2.4899999999999999E-2</v>
      </c>
      <c r="G68" s="294"/>
      <c r="H68" s="317"/>
      <c r="I68" s="298">
        <f>'Working Paper 3'!$E$12</f>
        <v>145.45695079148425</v>
      </c>
      <c r="J68" s="299">
        <f t="shared" si="31"/>
        <v>272</v>
      </c>
      <c r="K68" s="294"/>
      <c r="L68" s="317"/>
      <c r="M68" s="298">
        <f>'Working Paper 3'!$G$12</f>
        <v>292.619148787516</v>
      </c>
      <c r="N68" s="300">
        <f t="shared" si="32"/>
        <v>260</v>
      </c>
      <c r="O68" s="294"/>
      <c r="P68" s="317"/>
      <c r="Q68" s="340"/>
      <c r="R68" s="384">
        <v>1</v>
      </c>
      <c r="S68" s="384">
        <f>R71/100</f>
        <v>1</v>
      </c>
      <c r="T68" s="383"/>
      <c r="U68" s="317"/>
      <c r="V68" s="387"/>
      <c r="W68" s="427"/>
      <c r="X68" s="427"/>
      <c r="Y68" s="427"/>
      <c r="Z68" s="427"/>
      <c r="AA68" s="427"/>
      <c r="AB68" s="427"/>
      <c r="AC68" s="427"/>
      <c r="AD68" s="427"/>
      <c r="AE68" s="427"/>
      <c r="AF68" s="427"/>
      <c r="AG68" s="427"/>
      <c r="AH68" s="427"/>
      <c r="AI68" s="427"/>
      <c r="AJ68" s="427"/>
      <c r="AK68" s="427"/>
      <c r="AL68" s="427"/>
      <c r="AM68" s="427"/>
      <c r="AN68" s="427"/>
      <c r="AO68" s="291"/>
    </row>
    <row r="69" spans="1:41" ht="49.5" customHeight="1" outlineLevel="1" thickBot="1" x14ac:dyDescent="0.3">
      <c r="A69" s="291"/>
      <c r="B69" s="291"/>
      <c r="C69" s="291"/>
      <c r="D69" s="301" t="s">
        <v>127</v>
      </c>
      <c r="E69" s="309">
        <f>'Working Paper 3'!$C$13</f>
        <v>2.3977668424290749E-2</v>
      </c>
      <c r="F69" s="295">
        <f t="shared" si="30"/>
        <v>2.3900000000000001E-2</v>
      </c>
      <c r="G69" s="294"/>
      <c r="H69" s="317"/>
      <c r="I69" s="298">
        <f>'Working Paper 3'!$E$13</f>
        <v>139.5775929132339</v>
      </c>
      <c r="J69" s="299">
        <f t="shared" si="31"/>
        <v>272</v>
      </c>
      <c r="K69" s="294"/>
      <c r="L69" s="317"/>
      <c r="M69" s="298">
        <f>'Working Paper 3'!$G$13</f>
        <v>285.31047780447233</v>
      </c>
      <c r="N69" s="300">
        <f t="shared" si="32"/>
        <v>260</v>
      </c>
      <c r="O69" s="294"/>
      <c r="P69" s="317"/>
      <c r="Q69" s="341"/>
      <c r="R69" s="337"/>
      <c r="S69" s="318"/>
      <c r="T69" s="338"/>
      <c r="U69" s="317"/>
      <c r="V69" s="387"/>
      <c r="W69" s="427"/>
      <c r="X69" s="427"/>
      <c r="Y69" s="427"/>
      <c r="Z69" s="427"/>
      <c r="AA69" s="427"/>
      <c r="AB69" s="427"/>
      <c r="AC69" s="427"/>
      <c r="AD69" s="427"/>
      <c r="AE69" s="427"/>
      <c r="AF69" s="427"/>
      <c r="AG69" s="427"/>
      <c r="AH69" s="427"/>
      <c r="AI69" s="427"/>
      <c r="AJ69" s="427"/>
      <c r="AK69" s="427"/>
      <c r="AL69" s="427"/>
      <c r="AM69" s="427"/>
      <c r="AN69" s="427"/>
      <c r="AO69" s="291"/>
    </row>
    <row r="70" spans="1:41" ht="22.15" customHeight="1" outlineLevel="1" thickBot="1" x14ac:dyDescent="0.3">
      <c r="A70" s="291"/>
      <c r="B70" s="291"/>
      <c r="C70" s="291"/>
      <c r="D70" s="291"/>
      <c r="E70" s="291"/>
      <c r="F70" s="291"/>
      <c r="G70" s="291"/>
      <c r="H70" s="317"/>
      <c r="I70" s="291"/>
      <c r="J70" s="291"/>
      <c r="K70" s="291"/>
      <c r="L70" s="317"/>
      <c r="M70" s="291"/>
      <c r="N70" s="291"/>
      <c r="O70" s="291"/>
      <c r="P70" s="317"/>
      <c r="Q70" s="317"/>
      <c r="R70" s="317"/>
      <c r="S70" s="317"/>
      <c r="T70" s="317"/>
      <c r="U70" s="317"/>
      <c r="AO70" s="291"/>
    </row>
    <row r="71" spans="1:41" ht="22.15" customHeight="1" outlineLevel="1" thickBot="1" x14ac:dyDescent="0.3">
      <c r="A71" s="291"/>
      <c r="B71" s="291"/>
      <c r="C71" s="291"/>
      <c r="D71" s="291"/>
      <c r="E71" s="315">
        <f>SUM(E62:E70)</f>
        <v>1</v>
      </c>
      <c r="F71" s="316">
        <f>SUM(F62:F70)</f>
        <v>0.99990000000000012</v>
      </c>
      <c r="G71" s="291"/>
      <c r="H71" s="317"/>
      <c r="I71" s="356">
        <f>J82/A82*10000</f>
        <v>145.13100099066577</v>
      </c>
      <c r="J71" s="314">
        <f>I82</f>
        <v>108.86078607860786</v>
      </c>
      <c r="K71" s="291"/>
      <c r="L71" s="317"/>
      <c r="M71" s="311">
        <f>N82/A82*10000</f>
        <v>78.508438139553675</v>
      </c>
      <c r="N71" s="312">
        <f>M82</f>
        <v>69.030303030303017</v>
      </c>
      <c r="O71" s="291"/>
      <c r="P71" s="317"/>
      <c r="Q71" s="291"/>
      <c r="R71" s="414">
        <v>100</v>
      </c>
      <c r="S71" s="415">
        <f>S68*1</f>
        <v>1</v>
      </c>
      <c r="T71" s="414"/>
      <c r="U71" s="317"/>
      <c r="AO71" s="291"/>
    </row>
    <row r="72" spans="1:41" ht="22.15" customHeight="1" outlineLevel="1" thickBot="1" x14ac:dyDescent="0.3">
      <c r="A72" s="291"/>
      <c r="B72" s="291"/>
      <c r="C72" s="291"/>
      <c r="D72" s="291"/>
      <c r="E72" s="291"/>
      <c r="F72" s="291"/>
      <c r="G72" s="291"/>
      <c r="H72" s="317"/>
      <c r="I72" s="291"/>
      <c r="J72" s="291"/>
      <c r="K72" s="291"/>
      <c r="L72" s="317"/>
      <c r="M72" s="291"/>
      <c r="N72" s="291"/>
      <c r="O72" s="291"/>
      <c r="P72" s="317"/>
      <c r="Q72" s="317"/>
      <c r="R72" s="317"/>
      <c r="S72" s="317"/>
      <c r="T72" s="317"/>
      <c r="U72" s="317"/>
      <c r="AO72" s="291"/>
    </row>
    <row r="73" spans="1:41" ht="22.15" customHeight="1" outlineLevel="1" thickBot="1" x14ac:dyDescent="0.3">
      <c r="A73" s="305">
        <f>E62*'Working Paper 3'!$D$15</f>
        <v>7773747.9000000004</v>
      </c>
      <c r="B73" s="305"/>
      <c r="C73" s="305"/>
      <c r="D73" s="291" t="s">
        <v>124</v>
      </c>
      <c r="E73" s="460">
        <v>534</v>
      </c>
      <c r="F73" s="461">
        <f>F62*$A$25</f>
        <v>7775805.6171600027</v>
      </c>
      <c r="G73" s="278"/>
      <c r="H73" s="452"/>
      <c r="I73" s="453">
        <v>178</v>
      </c>
      <c r="J73" s="451">
        <f>I62*A73/10000</f>
        <v>120445.7818181818</v>
      </c>
      <c r="K73" s="462">
        <f t="shared" ref="K73:K80" si="38">J62*F73/10000</f>
        <v>138409.33998544805</v>
      </c>
      <c r="L73" s="452"/>
      <c r="M73" s="453">
        <v>170</v>
      </c>
      <c r="N73" s="451">
        <f>M62*A73/10000</f>
        <v>131934.40999999997</v>
      </c>
      <c r="O73" s="462">
        <f t="shared" ref="O73:O80" si="39">N62*F73/10000</f>
        <v>132188.69549172005</v>
      </c>
      <c r="P73" s="452"/>
      <c r="Q73" s="463" t="s">
        <v>113</v>
      </c>
      <c r="R73" s="359">
        <v>999</v>
      </c>
      <c r="S73" s="464">
        <f>R62*$A$25/10000</f>
        <v>145468.72306260004</v>
      </c>
      <c r="T73" s="362">
        <f>R73*F82/1000000</f>
        <v>145454.1761902938</v>
      </c>
      <c r="U73" s="317"/>
      <c r="AO73" s="291"/>
    </row>
    <row r="74" spans="1:41" ht="22.15" customHeight="1" outlineLevel="1" thickBot="1" x14ac:dyDescent="0.3">
      <c r="A74" s="305">
        <f>E63*'Working Paper 3'!$D$15</f>
        <v>46435674.090000018</v>
      </c>
      <c r="B74" s="305"/>
      <c r="C74" s="305"/>
      <c r="D74" s="291" t="s">
        <v>3</v>
      </c>
      <c r="E74" s="460">
        <v>3189</v>
      </c>
      <c r="F74" s="461">
        <f>F63*$A$25</f>
        <v>46436412.196860015</v>
      </c>
      <c r="G74" s="278"/>
      <c r="H74" s="452"/>
      <c r="I74" s="453">
        <v>65</v>
      </c>
      <c r="J74" s="451">
        <f t="shared" ref="J74:J80" si="40">I63*A74/10000</f>
        <v>663995.53636363626</v>
      </c>
      <c r="K74" s="462">
        <f t="shared" si="38"/>
        <v>301836.67927959008</v>
      </c>
      <c r="L74" s="452"/>
      <c r="M74" s="453">
        <v>28</v>
      </c>
      <c r="N74" s="451">
        <f t="shared" ref="N74:N80" si="41">M63*A74/10000</f>
        <v>133087.70000000001</v>
      </c>
      <c r="O74" s="462">
        <f t="shared" si="39"/>
        <v>130021.95415120805</v>
      </c>
      <c r="P74" s="452"/>
      <c r="Q74" s="463" t="s">
        <v>115</v>
      </c>
      <c r="R74" s="359">
        <v>289</v>
      </c>
      <c r="S74" s="464">
        <f t="shared" ref="S74:S75" si="42">R63*$A$25/10000</f>
        <v>42082.543508600014</v>
      </c>
      <c r="T74" s="362">
        <f>R74*F82/1000000</f>
        <v>42078.335254249156</v>
      </c>
    </row>
    <row r="75" spans="1:41" ht="22.15" customHeight="1" outlineLevel="1" thickBot="1" x14ac:dyDescent="0.3">
      <c r="A75" s="305">
        <f>E64*'Working Paper 3'!$D$15</f>
        <v>5845626.4700000016</v>
      </c>
      <c r="B75" s="305"/>
      <c r="C75" s="305"/>
      <c r="D75" s="291" t="s">
        <v>4</v>
      </c>
      <c r="E75" s="460">
        <v>401</v>
      </c>
      <c r="F75" s="461">
        <f t="shared" ref="F75:F80" si="43">F64*$A$25</f>
        <v>5839134.9297400005</v>
      </c>
      <c r="G75" s="278"/>
      <c r="H75" s="452"/>
      <c r="I75" s="453">
        <v>159</v>
      </c>
      <c r="J75" s="451">
        <f t="shared" si="40"/>
        <v>83860.490909090862</v>
      </c>
      <c r="K75" s="462">
        <f t="shared" si="38"/>
        <v>92842.245382866007</v>
      </c>
      <c r="L75" s="452"/>
      <c r="M75" s="453">
        <v>60</v>
      </c>
      <c r="N75" s="451">
        <f t="shared" si="41"/>
        <v>35211.755454545455</v>
      </c>
      <c r="O75" s="462">
        <f t="shared" si="39"/>
        <v>35034.809578440007</v>
      </c>
      <c r="P75" s="452"/>
      <c r="Q75" s="465" t="s">
        <v>116</v>
      </c>
      <c r="R75" s="359">
        <v>469</v>
      </c>
      <c r="S75" s="464">
        <f t="shared" si="42"/>
        <v>68293.124240600024</v>
      </c>
      <c r="T75" s="362">
        <f>R75*F82/1000000</f>
        <v>68286.294928175965</v>
      </c>
    </row>
    <row r="76" spans="1:41" ht="22.15" customHeight="1" outlineLevel="1" x14ac:dyDescent="0.25">
      <c r="A76" s="305">
        <f>E65*'Working Paper 3'!$D$15</f>
        <v>32721693.030000001</v>
      </c>
      <c r="B76" s="305"/>
      <c r="C76" s="305"/>
      <c r="D76" s="291" t="s">
        <v>5</v>
      </c>
      <c r="E76" s="460">
        <v>2247</v>
      </c>
      <c r="F76" s="461">
        <f t="shared" si="43"/>
        <v>32719541.61378001</v>
      </c>
      <c r="G76" s="278"/>
      <c r="H76" s="452"/>
      <c r="I76" s="453">
        <v>65</v>
      </c>
      <c r="J76" s="451">
        <f t="shared" si="40"/>
        <v>468632.70909090899</v>
      </c>
      <c r="K76" s="462">
        <f t="shared" si="38"/>
        <v>212677.02048957007</v>
      </c>
      <c r="L76" s="452"/>
      <c r="M76" s="453">
        <v>66</v>
      </c>
      <c r="N76" s="451">
        <f t="shared" si="41"/>
        <v>215727.4118181818</v>
      </c>
      <c r="O76" s="462">
        <f t="shared" si="39"/>
        <v>215948.97465094805</v>
      </c>
      <c r="P76" s="452"/>
      <c r="Q76" s="452"/>
      <c r="R76" s="452"/>
      <c r="S76" s="452"/>
      <c r="T76" s="454"/>
    </row>
    <row r="77" spans="1:41" ht="22.15" customHeight="1" outlineLevel="1" x14ac:dyDescent="0.25">
      <c r="A77" s="305">
        <f>E66*'Working Paper 3'!$D$15</f>
        <v>37104582.900000006</v>
      </c>
      <c r="B77" s="305"/>
      <c r="C77" s="305"/>
      <c r="D77" s="291" t="s">
        <v>125</v>
      </c>
      <c r="E77" s="460">
        <v>2548</v>
      </c>
      <c r="F77" s="461">
        <f t="shared" si="43"/>
        <v>37102533.169520013</v>
      </c>
      <c r="G77" s="278"/>
      <c r="H77" s="452"/>
      <c r="I77" s="453">
        <v>159</v>
      </c>
      <c r="J77" s="451">
        <f t="shared" si="40"/>
        <v>551713.47272727301</v>
      </c>
      <c r="K77" s="462">
        <f t="shared" si="38"/>
        <v>589930.2773953682</v>
      </c>
      <c r="L77" s="452"/>
      <c r="M77" s="453">
        <v>70</v>
      </c>
      <c r="N77" s="451">
        <f t="shared" si="41"/>
        <v>374267.73727272736</v>
      </c>
      <c r="O77" s="462">
        <f t="shared" si="39"/>
        <v>259717.73218664006</v>
      </c>
      <c r="P77" s="452"/>
      <c r="Q77" s="452"/>
      <c r="R77" s="452"/>
      <c r="S77" s="452"/>
      <c r="T77" s="454"/>
    </row>
    <row r="78" spans="1:41" ht="22.15" customHeight="1" outlineLevel="1" x14ac:dyDescent="0.25">
      <c r="A78" s="305">
        <f>E67*'Working Paper 3'!$D$15</f>
        <v>8618063.129999999</v>
      </c>
      <c r="B78" s="305"/>
      <c r="C78" s="305"/>
      <c r="D78" s="291" t="s">
        <v>7</v>
      </c>
      <c r="E78" s="460">
        <v>592</v>
      </c>
      <c r="F78" s="461">
        <f t="shared" si="43"/>
        <v>8620368.7740800027</v>
      </c>
      <c r="G78" s="278"/>
      <c r="H78" s="452"/>
      <c r="I78" s="453">
        <v>65</v>
      </c>
      <c r="J78" s="451">
        <f t="shared" si="40"/>
        <v>123228.3454545454</v>
      </c>
      <c r="K78" s="462">
        <f t="shared" si="38"/>
        <v>56032.39703152002</v>
      </c>
      <c r="L78" s="452"/>
      <c r="M78" s="453">
        <v>55</v>
      </c>
      <c r="N78" s="451">
        <f t="shared" si="41"/>
        <v>47321.164545454551</v>
      </c>
      <c r="O78" s="462">
        <f t="shared" si="39"/>
        <v>47412.028257440012</v>
      </c>
      <c r="P78" s="452"/>
      <c r="Q78" s="452"/>
      <c r="R78" s="452"/>
      <c r="S78" s="452"/>
      <c r="T78" s="454"/>
      <c r="V78" s="320"/>
      <c r="W78" s="297"/>
      <c r="X78" s="297"/>
      <c r="Y78" s="297"/>
    </row>
    <row r="79" spans="1:41" ht="22.15" customHeight="1" outlineLevel="1" x14ac:dyDescent="0.25">
      <c r="A79" s="305">
        <f>E68*'Working Paper 3'!$D$15</f>
        <v>3623457.5800000005</v>
      </c>
      <c r="B79" s="305"/>
      <c r="C79" s="305"/>
      <c r="D79" s="291" t="s">
        <v>126</v>
      </c>
      <c r="E79" s="460">
        <v>249</v>
      </c>
      <c r="F79" s="461">
        <f t="shared" si="43"/>
        <v>3625797.0012600007</v>
      </c>
      <c r="G79" s="278"/>
      <c r="H79" s="452"/>
      <c r="I79" s="453">
        <v>272</v>
      </c>
      <c r="J79" s="451">
        <f t="shared" si="40"/>
        <v>52705.709090909069</v>
      </c>
      <c r="K79" s="462">
        <f t="shared" si="38"/>
        <v>98621.67843427202</v>
      </c>
      <c r="L79" s="452"/>
      <c r="M79" s="453">
        <v>260</v>
      </c>
      <c r="N79" s="451">
        <f t="shared" si="41"/>
        <v>106029.30727272728</v>
      </c>
      <c r="O79" s="462">
        <f t="shared" si="39"/>
        <v>94270.722032760023</v>
      </c>
      <c r="P79" s="452"/>
      <c r="Q79" s="452"/>
      <c r="R79" s="452"/>
      <c r="S79" s="452"/>
      <c r="T79" s="454"/>
    </row>
    <row r="80" spans="1:41" ht="22.15" customHeight="1" outlineLevel="1" x14ac:dyDescent="0.25">
      <c r="A80" s="305">
        <f>E69*'Working Paper 3'!$D$15</f>
        <v>3491492.3000000003</v>
      </c>
      <c r="B80" s="305"/>
      <c r="C80" s="305"/>
      <c r="D80" s="291" t="s">
        <v>127</v>
      </c>
      <c r="E80" s="460">
        <v>239</v>
      </c>
      <c r="F80" s="461">
        <f t="shared" si="43"/>
        <v>3480182.6638600011</v>
      </c>
      <c r="G80" s="278"/>
      <c r="H80" s="452"/>
      <c r="I80" s="453">
        <v>272</v>
      </c>
      <c r="J80" s="451">
        <f t="shared" si="40"/>
        <v>48733.409090909074</v>
      </c>
      <c r="K80" s="462">
        <f t="shared" si="38"/>
        <v>94660.968456992035</v>
      </c>
      <c r="L80" s="452"/>
      <c r="M80" s="453">
        <v>260</v>
      </c>
      <c r="N80" s="451">
        <f t="shared" si="41"/>
        <v>99615.93363636361</v>
      </c>
      <c r="O80" s="462">
        <f t="shared" si="39"/>
        <v>90484.749260360026</v>
      </c>
      <c r="P80" s="452"/>
      <c r="Q80" s="452"/>
      <c r="R80" s="452"/>
      <c r="S80" s="452"/>
      <c r="T80" s="454"/>
    </row>
    <row r="81" spans="1:41" ht="22.15" customHeight="1" outlineLevel="1" x14ac:dyDescent="0.25">
      <c r="E81" s="278"/>
      <c r="F81" s="278"/>
      <c r="G81" s="278"/>
      <c r="H81" s="452"/>
      <c r="I81" s="453"/>
      <c r="J81" s="278"/>
      <c r="K81" s="278"/>
      <c r="L81" s="452"/>
      <c r="M81" s="278"/>
      <c r="N81" s="278"/>
      <c r="O81" s="278"/>
      <c r="P81" s="452"/>
      <c r="Q81" s="452"/>
      <c r="R81" s="452"/>
      <c r="S81" s="452"/>
      <c r="T81" s="452"/>
    </row>
    <row r="82" spans="1:41" ht="22.15" customHeight="1" outlineLevel="1" x14ac:dyDescent="0.25">
      <c r="A82" s="433">
        <f>SUM(A73:A81)</f>
        <v>145614337.40000004</v>
      </c>
      <c r="B82" s="433"/>
      <c r="C82" s="433"/>
      <c r="D82" s="98"/>
      <c r="E82" s="466">
        <f>SUM(E73:E81)</f>
        <v>9999</v>
      </c>
      <c r="F82" s="455">
        <f>SUM(F73:F80)</f>
        <v>145599775.96626005</v>
      </c>
      <c r="G82" s="456"/>
      <c r="H82" s="456"/>
      <c r="I82" s="457">
        <f>K82/F82*10000</f>
        <v>108.86078607860786</v>
      </c>
      <c r="J82" s="458">
        <f>SUM(J73:J81)</f>
        <v>2113315.4545454546</v>
      </c>
      <c r="K82" s="458">
        <f>SUM(K73:K81)</f>
        <v>1585010.6064556264</v>
      </c>
      <c r="L82" s="456"/>
      <c r="M82" s="457">
        <f>O82/F82*10000</f>
        <v>69.030303030303017</v>
      </c>
      <c r="N82" s="458">
        <f>SUM(N73:N81)</f>
        <v>1143195.4200000002</v>
      </c>
      <c r="O82" s="458">
        <f>SUM(O73:O81)</f>
        <v>1005079.6656095162</v>
      </c>
      <c r="P82" s="457"/>
      <c r="Q82" s="457"/>
      <c r="R82" s="457">
        <f>S82/A82*10000</f>
        <v>17.57</v>
      </c>
      <c r="S82" s="459">
        <f>SUM(S73:S81)</f>
        <v>255844.39081180008</v>
      </c>
      <c r="T82" s="459">
        <f>SUM(T73:T80)</f>
        <v>255818.80637271894</v>
      </c>
      <c r="U82" s="320"/>
    </row>
    <row r="83" spans="1:41" ht="22.15" customHeight="1" outlineLevel="1" x14ac:dyDescent="0.25">
      <c r="N83" s="149">
        <f>K82-O82</f>
        <v>579930.94084611023</v>
      </c>
    </row>
    <row r="88" spans="1:41" ht="22.15" hidden="1" customHeight="1" outlineLevel="1" x14ac:dyDescent="0.35">
      <c r="E88" s="468" t="s">
        <v>135</v>
      </c>
      <c r="G88" s="468" t="s">
        <v>129</v>
      </c>
      <c r="H88" s="469"/>
      <c r="I88" s="468"/>
      <c r="J88" s="468"/>
      <c r="K88" s="468"/>
      <c r="L88" s="327"/>
      <c r="M88" s="280"/>
    </row>
    <row r="89" spans="1:41" ht="22.15" hidden="1" customHeight="1" outlineLevel="1" thickBot="1" x14ac:dyDescent="0.3">
      <c r="A89" s="291"/>
      <c r="B89" s="291"/>
      <c r="C89" s="291"/>
      <c r="D89" s="291"/>
      <c r="E89" s="291"/>
      <c r="F89" s="291"/>
      <c r="G89" s="291"/>
      <c r="H89" s="317"/>
      <c r="I89" s="291"/>
      <c r="J89" s="291"/>
      <c r="K89" s="291"/>
      <c r="L89" s="317"/>
      <c r="M89" s="291"/>
      <c r="N89" s="291"/>
      <c r="O89" s="291"/>
      <c r="P89" s="317"/>
      <c r="Q89" s="317"/>
      <c r="R89" s="317"/>
      <c r="S89" s="317"/>
      <c r="T89" s="317"/>
      <c r="U89" s="317"/>
      <c r="V89" s="317"/>
      <c r="W89" s="291"/>
      <c r="X89" s="291"/>
      <c r="Y89" s="291"/>
      <c r="Z89" s="291"/>
      <c r="AA89" s="291"/>
      <c r="AB89" s="291"/>
      <c r="AC89" s="291"/>
      <c r="AD89" s="291"/>
      <c r="AE89" s="291"/>
      <c r="AF89" s="291"/>
      <c r="AG89" s="291"/>
      <c r="AH89" s="291"/>
      <c r="AI89" s="291"/>
      <c r="AJ89" s="291"/>
      <c r="AK89" s="291"/>
      <c r="AL89" s="291"/>
      <c r="AM89" s="291"/>
      <c r="AN89" s="291"/>
      <c r="AO89" s="291"/>
    </row>
    <row r="90" spans="1:41" ht="22.15" hidden="1" customHeight="1" outlineLevel="1" thickBot="1" x14ac:dyDescent="0.3">
      <c r="A90" s="291"/>
      <c r="B90" s="291"/>
      <c r="C90" s="291"/>
      <c r="D90" s="291"/>
      <c r="E90" s="739" t="s">
        <v>101</v>
      </c>
      <c r="F90" s="745"/>
      <c r="G90" s="746"/>
      <c r="H90" s="323"/>
      <c r="I90" s="741" t="s">
        <v>102</v>
      </c>
      <c r="J90" s="747"/>
      <c r="K90" s="748"/>
      <c r="L90" s="323"/>
      <c r="M90" s="743" t="s">
        <v>103</v>
      </c>
      <c r="N90" s="749"/>
      <c r="O90" s="750"/>
      <c r="P90" s="323"/>
      <c r="Q90" s="323"/>
      <c r="R90" s="757" t="s">
        <v>104</v>
      </c>
      <c r="S90" s="758"/>
      <c r="T90" s="759"/>
      <c r="U90" s="323"/>
      <c r="V90" s="321"/>
      <c r="W90" s="442"/>
      <c r="X90" s="442"/>
      <c r="Y90" s="442"/>
      <c r="Z90" s="443"/>
      <c r="AA90" s="443"/>
      <c r="AB90" s="444"/>
      <c r="AC90" s="443"/>
      <c r="AD90" s="443"/>
      <c r="AE90" s="444"/>
      <c r="AF90" s="443"/>
      <c r="AG90" s="443"/>
      <c r="AH90" s="444"/>
      <c r="AI90" s="443"/>
      <c r="AJ90" s="443"/>
      <c r="AK90" s="444"/>
      <c r="AL90" s="443"/>
      <c r="AM90" s="443"/>
      <c r="AN90" s="444"/>
      <c r="AO90" s="291"/>
    </row>
    <row r="91" spans="1:41" ht="22.15" hidden="1" customHeight="1" outlineLevel="1" thickBot="1" x14ac:dyDescent="0.3">
      <c r="A91" s="291"/>
      <c r="B91" s="291"/>
      <c r="C91" s="291"/>
      <c r="D91" s="291"/>
      <c r="E91" s="325" t="s">
        <v>110</v>
      </c>
      <c r="F91" s="739" t="s">
        <v>111</v>
      </c>
      <c r="G91" s="740"/>
      <c r="H91" s="322"/>
      <c r="I91" s="302" t="s">
        <v>110</v>
      </c>
      <c r="J91" s="741" t="s">
        <v>112</v>
      </c>
      <c r="K91" s="742"/>
      <c r="L91" s="322"/>
      <c r="M91" s="302" t="s">
        <v>110</v>
      </c>
      <c r="N91" s="743" t="s">
        <v>112</v>
      </c>
      <c r="O91" s="744"/>
      <c r="P91" s="322"/>
      <c r="Q91" s="322"/>
      <c r="R91" s="328" t="s">
        <v>110</v>
      </c>
      <c r="S91" s="760" t="s">
        <v>112</v>
      </c>
      <c r="T91" s="761"/>
      <c r="U91" s="322"/>
      <c r="V91" s="322"/>
      <c r="W91" s="445"/>
      <c r="X91" s="445"/>
      <c r="Y91" s="445"/>
      <c r="Z91" s="445"/>
      <c r="AA91" s="445"/>
      <c r="AB91" s="445"/>
      <c r="AC91" s="445"/>
      <c r="AD91" s="445"/>
      <c r="AE91" s="445"/>
      <c r="AF91" s="445"/>
      <c r="AG91" s="445"/>
      <c r="AH91" s="445"/>
      <c r="AI91" s="445"/>
      <c r="AJ91" s="445"/>
      <c r="AK91" s="445"/>
      <c r="AL91" s="445"/>
      <c r="AM91" s="445"/>
      <c r="AN91" s="445"/>
      <c r="AO91" s="291"/>
    </row>
    <row r="92" spans="1:41" ht="54.95" hidden="1" customHeight="1" outlineLevel="1" thickBot="1" x14ac:dyDescent="0.3">
      <c r="A92" s="291"/>
      <c r="B92" s="291"/>
      <c r="C92" s="291"/>
      <c r="D92" s="301" t="s">
        <v>124</v>
      </c>
      <c r="E92" s="309">
        <f>'Working Paper 3'!$C$6</f>
        <v>5.3385868718721363E-2</v>
      </c>
      <c r="F92" s="295">
        <f t="shared" ref="F92:F99" si="44">E103/10000</f>
        <v>5.3400000000000003E-2</v>
      </c>
      <c r="G92" s="293"/>
      <c r="H92" s="324"/>
      <c r="I92" s="298">
        <f>'Working Paper 3'!$E$6</f>
        <v>154.93914051185246</v>
      </c>
      <c r="J92" s="299">
        <f>I103</f>
        <v>155</v>
      </c>
      <c r="K92" s="294"/>
      <c r="L92" s="317"/>
      <c r="M92" s="298">
        <f>'Working Paper 3'!$G$6</f>
        <v>169.71789116032431</v>
      </c>
      <c r="N92" s="300">
        <f>M103</f>
        <v>170</v>
      </c>
      <c r="O92" s="294"/>
      <c r="P92" s="317"/>
      <c r="Q92" s="329" t="s">
        <v>113</v>
      </c>
      <c r="R92" s="334">
        <v>9.99</v>
      </c>
      <c r="S92" s="352">
        <f>R103/100</f>
        <v>9.99</v>
      </c>
      <c r="T92" s="330"/>
      <c r="U92" s="317"/>
      <c r="V92" s="446"/>
      <c r="W92" s="430"/>
      <c r="X92" s="447"/>
      <c r="Y92" s="447"/>
      <c r="Z92" s="430"/>
      <c r="AA92" s="447"/>
      <c r="AB92" s="447"/>
      <c r="AC92" s="430"/>
      <c r="AD92" s="447"/>
      <c r="AE92" s="447"/>
      <c r="AF92" s="427"/>
      <c r="AG92" s="427"/>
      <c r="AH92" s="427"/>
      <c r="AI92" s="430"/>
      <c r="AJ92" s="447"/>
      <c r="AK92" s="447"/>
      <c r="AL92" s="430"/>
      <c r="AM92" s="447"/>
      <c r="AN92" s="447"/>
      <c r="AO92" s="291"/>
    </row>
    <row r="93" spans="1:41" ht="54.95" hidden="1" customHeight="1" outlineLevel="1" thickBot="1" x14ac:dyDescent="0.3">
      <c r="A93" s="291"/>
      <c r="B93" s="291"/>
      <c r="C93" s="291"/>
      <c r="D93" s="301" t="s">
        <v>3</v>
      </c>
      <c r="E93" s="309">
        <f>'Working Paper 3'!$C$7</f>
        <v>0.31889493108389483</v>
      </c>
      <c r="F93" s="295">
        <f t="shared" si="44"/>
        <v>0.31890000000000002</v>
      </c>
      <c r="G93" s="294"/>
      <c r="H93" s="317"/>
      <c r="I93" s="298">
        <f>'Working Paper 3'!$E$7</f>
        <v>142.99254815956868</v>
      </c>
      <c r="J93" s="299">
        <f t="shared" ref="J93:J99" si="45">I104</f>
        <v>143</v>
      </c>
      <c r="K93" s="294"/>
      <c r="L93" s="317"/>
      <c r="M93" s="298">
        <f>'Working Paper 3'!$G$7</f>
        <v>28.660658557912612</v>
      </c>
      <c r="N93" s="300">
        <f t="shared" ref="N93:N99" si="46">M104</f>
        <v>28</v>
      </c>
      <c r="O93" s="294"/>
      <c r="P93" s="317"/>
      <c r="Q93" s="329" t="s">
        <v>115</v>
      </c>
      <c r="R93" s="334">
        <v>2.89</v>
      </c>
      <c r="S93" s="352">
        <f>R104/100</f>
        <v>2.89</v>
      </c>
      <c r="T93" s="330"/>
      <c r="U93" s="317"/>
      <c r="V93" s="448"/>
      <c r="W93" s="447"/>
      <c r="X93" s="447"/>
      <c r="Y93" s="447"/>
      <c r="Z93" s="447"/>
      <c r="AA93" s="447"/>
      <c r="AB93" s="447"/>
      <c r="AC93" s="447"/>
      <c r="AD93" s="447"/>
      <c r="AE93" s="447"/>
      <c r="AF93" s="427"/>
      <c r="AG93" s="427"/>
      <c r="AH93" s="427"/>
      <c r="AI93" s="447"/>
      <c r="AJ93" s="447"/>
      <c r="AK93" s="447"/>
      <c r="AL93" s="447"/>
      <c r="AM93" s="447"/>
      <c r="AN93" s="447"/>
      <c r="AO93" s="291"/>
    </row>
    <row r="94" spans="1:41" ht="54.95" hidden="1" customHeight="1" outlineLevel="1" thickBot="1" x14ac:dyDescent="0.3">
      <c r="A94" s="291"/>
      <c r="B94" s="291"/>
      <c r="C94" s="291"/>
      <c r="D94" s="301" t="s">
        <v>4</v>
      </c>
      <c r="E94" s="309">
        <f>'Working Paper 3'!$C$8</f>
        <v>4.0144580364653022E-2</v>
      </c>
      <c r="F94" s="295">
        <f t="shared" si="44"/>
        <v>4.0300000000000002E-2</v>
      </c>
      <c r="G94" s="326"/>
      <c r="H94" s="317"/>
      <c r="I94" s="298">
        <f>'Working Paper 3'!$E$8</f>
        <v>143.45851781578313</v>
      </c>
      <c r="J94" s="299">
        <f t="shared" si="45"/>
        <v>143</v>
      </c>
      <c r="K94" s="294"/>
      <c r="L94" s="317"/>
      <c r="M94" s="298">
        <f>'Working Paper 3'!$G$8</f>
        <v>60.236068170372583</v>
      </c>
      <c r="N94" s="300">
        <f t="shared" si="46"/>
        <v>60</v>
      </c>
      <c r="O94" s="294"/>
      <c r="P94" s="317"/>
      <c r="Q94" s="331" t="s">
        <v>116</v>
      </c>
      <c r="R94" s="334">
        <v>4.6900000000000004</v>
      </c>
      <c r="S94" s="352">
        <f>R105/100</f>
        <v>4.6900000000000004</v>
      </c>
      <c r="T94" s="330"/>
      <c r="U94" s="317"/>
      <c r="V94" s="449"/>
      <c r="W94" s="441"/>
      <c r="X94" s="447"/>
      <c r="Y94" s="447"/>
      <c r="Z94" s="441"/>
      <c r="AA94" s="447"/>
      <c r="AB94" s="447"/>
      <c r="AC94" s="441"/>
      <c r="AD94" s="447"/>
      <c r="AE94" s="447"/>
      <c r="AF94" s="440"/>
      <c r="AG94" s="427"/>
      <c r="AH94" s="427"/>
      <c r="AI94" s="441"/>
      <c r="AJ94" s="447"/>
      <c r="AK94" s="447"/>
      <c r="AL94" s="441"/>
      <c r="AM94" s="447"/>
      <c r="AN94" s="447"/>
      <c r="AO94" s="291"/>
    </row>
    <row r="95" spans="1:41" ht="54.95" hidden="1" customHeight="1" outlineLevel="1" thickBot="1" x14ac:dyDescent="0.3">
      <c r="A95" s="291"/>
      <c r="B95" s="291"/>
      <c r="C95" s="291"/>
      <c r="D95" s="301" t="s">
        <v>5</v>
      </c>
      <c r="E95" s="309">
        <f>'Working Paper 3'!$C$9</f>
        <v>0.22471477475541493</v>
      </c>
      <c r="F95" s="295">
        <f t="shared" si="44"/>
        <v>0.22470000000000001</v>
      </c>
      <c r="G95" s="294"/>
      <c r="H95" s="317"/>
      <c r="I95" s="298">
        <f>'Working Paper 3'!$E$9</f>
        <v>143.21774507854948</v>
      </c>
      <c r="J95" s="299">
        <f t="shared" si="45"/>
        <v>143</v>
      </c>
      <c r="K95" s="294"/>
      <c r="L95" s="317"/>
      <c r="M95" s="298">
        <f>'Working Paper 3'!$G$9</f>
        <v>65.927949272184037</v>
      </c>
      <c r="N95" s="300">
        <f t="shared" si="46"/>
        <v>66</v>
      </c>
      <c r="O95" s="294"/>
      <c r="P95" s="317"/>
      <c r="Q95" s="340"/>
      <c r="R95" s="332">
        <f>S112/A112*10000</f>
        <v>17.57</v>
      </c>
      <c r="S95" s="339">
        <f>T112/A112*10000</f>
        <v>17.575271000000004</v>
      </c>
      <c r="T95" s="336"/>
      <c r="U95" s="317"/>
      <c r="V95" s="450"/>
      <c r="W95" s="447"/>
      <c r="X95" s="447"/>
      <c r="Y95" s="447"/>
      <c r="Z95" s="447"/>
      <c r="AA95" s="447"/>
      <c r="AB95" s="447"/>
      <c r="AC95" s="447"/>
      <c r="AD95" s="447"/>
      <c r="AE95" s="447"/>
      <c r="AF95" s="427"/>
      <c r="AG95" s="427"/>
      <c r="AH95" s="427"/>
      <c r="AI95" s="447"/>
      <c r="AJ95" s="447"/>
      <c r="AK95" s="447"/>
      <c r="AL95" s="447"/>
      <c r="AM95" s="447"/>
      <c r="AN95" s="447"/>
      <c r="AO95" s="291"/>
    </row>
    <row r="96" spans="1:41" ht="54.95" hidden="1" customHeight="1" outlineLevel="1" thickBot="1" x14ac:dyDescent="0.3">
      <c r="A96" s="291"/>
      <c r="B96" s="291"/>
      <c r="C96" s="291"/>
      <c r="D96" s="301" t="s">
        <v>125</v>
      </c>
      <c r="E96" s="309">
        <f>'Working Paper 3'!$C$10</f>
        <v>0.25481407643310816</v>
      </c>
      <c r="F96" s="295">
        <f t="shared" si="44"/>
        <v>0.25480000000000003</v>
      </c>
      <c r="G96" s="294"/>
      <c r="H96" s="317"/>
      <c r="I96" s="298">
        <f>'Working Paper 3'!$E$10</f>
        <v>148.69146331982427</v>
      </c>
      <c r="J96" s="299">
        <f t="shared" si="45"/>
        <v>149</v>
      </c>
      <c r="K96" s="294"/>
      <c r="L96" s="317"/>
      <c r="M96" s="298">
        <f>'Working Paper 3'!$G$10</f>
        <v>100.86833162399658</v>
      </c>
      <c r="N96" s="300">
        <f t="shared" si="46"/>
        <v>70</v>
      </c>
      <c r="O96" s="294"/>
      <c r="P96" s="317"/>
      <c r="Q96" s="340"/>
      <c r="T96" s="336"/>
      <c r="U96" s="317"/>
      <c r="V96" s="387"/>
      <c r="W96" s="430"/>
      <c r="X96" s="430"/>
      <c r="Y96" s="430"/>
      <c r="Z96" s="430"/>
      <c r="AA96" s="430"/>
      <c r="AB96" s="430"/>
      <c r="AC96" s="430"/>
      <c r="AD96" s="430"/>
      <c r="AE96" s="430"/>
      <c r="AF96" s="427"/>
      <c r="AG96" s="427"/>
      <c r="AH96" s="427"/>
      <c r="AI96" s="430"/>
      <c r="AJ96" s="447"/>
      <c r="AK96" s="447"/>
      <c r="AL96" s="430"/>
      <c r="AM96" s="447"/>
      <c r="AN96" s="447"/>
      <c r="AO96" s="291"/>
    </row>
    <row r="97" spans="1:41" ht="54.95" hidden="1" customHeight="1" outlineLevel="1" thickBot="1" x14ac:dyDescent="0.3">
      <c r="A97" s="291"/>
      <c r="B97" s="291"/>
      <c r="C97" s="291"/>
      <c r="D97" s="301" t="s">
        <v>7</v>
      </c>
      <c r="E97" s="309">
        <f>'Working Paper 3'!$C$11</f>
        <v>5.9184166091600793E-2</v>
      </c>
      <c r="F97" s="295">
        <f t="shared" si="44"/>
        <v>5.9200000000000003E-2</v>
      </c>
      <c r="G97" s="294"/>
      <c r="H97" s="317"/>
      <c r="I97" s="298">
        <f>'Working Paper 3'!$E$11</f>
        <v>142.98844600659757</v>
      </c>
      <c r="J97" s="299">
        <f t="shared" si="45"/>
        <v>143</v>
      </c>
      <c r="K97" s="294"/>
      <c r="L97" s="317"/>
      <c r="M97" s="298">
        <f>'Working Paper 3'!$G$11</f>
        <v>54.90928046317822</v>
      </c>
      <c r="N97" s="300">
        <f t="shared" si="46"/>
        <v>55</v>
      </c>
      <c r="O97" s="294"/>
      <c r="P97" s="317"/>
      <c r="Q97" s="340"/>
      <c r="R97" s="719" t="s">
        <v>118</v>
      </c>
      <c r="S97" s="720"/>
      <c r="T97" s="721"/>
      <c r="U97" s="317"/>
      <c r="V97" s="387"/>
      <c r="W97" s="430"/>
      <c r="X97" s="430"/>
      <c r="Y97" s="430"/>
      <c r="Z97" s="430"/>
      <c r="AA97" s="430"/>
      <c r="AB97" s="430"/>
      <c r="AC97" s="430"/>
      <c r="AD97" s="430"/>
      <c r="AE97" s="430"/>
      <c r="AF97" s="427"/>
      <c r="AG97" s="427"/>
      <c r="AH97" s="427"/>
      <c r="AI97" s="447"/>
      <c r="AJ97" s="447"/>
      <c r="AK97" s="447"/>
      <c r="AL97" s="447"/>
      <c r="AM97" s="447"/>
      <c r="AN97" s="447"/>
      <c r="AO97" s="291"/>
    </row>
    <row r="98" spans="1:41" ht="54.95" hidden="1" customHeight="1" outlineLevel="1" thickBot="1" x14ac:dyDescent="0.3">
      <c r="A98" s="291"/>
      <c r="B98" s="291"/>
      <c r="C98" s="291"/>
      <c r="D98" s="301" t="s">
        <v>126</v>
      </c>
      <c r="E98" s="309">
        <f>'Working Paper 3'!$C$12</f>
        <v>2.4883934128316128E-2</v>
      </c>
      <c r="F98" s="295">
        <f t="shared" si="44"/>
        <v>2.4899999999999999E-2</v>
      </c>
      <c r="G98" s="294"/>
      <c r="H98" s="317"/>
      <c r="I98" s="298">
        <f>'Working Paper 3'!$E$12</f>
        <v>145.45695079148425</v>
      </c>
      <c r="J98" s="299">
        <f t="shared" si="45"/>
        <v>145</v>
      </c>
      <c r="K98" s="294"/>
      <c r="L98" s="317"/>
      <c r="M98" s="298">
        <f>'Working Paper 3'!$G$12</f>
        <v>292.619148787516</v>
      </c>
      <c r="N98" s="300">
        <f t="shared" si="46"/>
        <v>322</v>
      </c>
      <c r="O98" s="294"/>
      <c r="P98" s="317"/>
      <c r="Q98" s="340"/>
      <c r="R98" s="384">
        <v>1</v>
      </c>
      <c r="S98" s="384">
        <f>R101/100</f>
        <v>1</v>
      </c>
      <c r="T98" s="383"/>
      <c r="U98" s="317"/>
      <c r="V98" s="387"/>
      <c r="W98" s="427"/>
      <c r="X98" s="427"/>
      <c r="Y98" s="427"/>
      <c r="Z98" s="427"/>
      <c r="AA98" s="427"/>
      <c r="AB98" s="427"/>
      <c r="AC98" s="427"/>
      <c r="AD98" s="427"/>
      <c r="AE98" s="427"/>
      <c r="AF98" s="427"/>
      <c r="AG98" s="427"/>
      <c r="AH98" s="427"/>
      <c r="AI98" s="427"/>
      <c r="AJ98" s="427"/>
      <c r="AK98" s="427"/>
      <c r="AL98" s="427"/>
      <c r="AM98" s="427"/>
      <c r="AN98" s="427"/>
      <c r="AO98" s="291"/>
    </row>
    <row r="99" spans="1:41" ht="54.95" hidden="1" customHeight="1" outlineLevel="1" thickBot="1" x14ac:dyDescent="0.3">
      <c r="A99" s="291"/>
      <c r="B99" s="291"/>
      <c r="C99" s="291"/>
      <c r="D99" s="301" t="s">
        <v>127</v>
      </c>
      <c r="E99" s="309">
        <f>'Working Paper 3'!$C$13</f>
        <v>2.3977668424290749E-2</v>
      </c>
      <c r="F99" s="295">
        <f t="shared" si="44"/>
        <v>2.41E-2</v>
      </c>
      <c r="G99" s="294"/>
      <c r="H99" s="317"/>
      <c r="I99" s="298">
        <f>'Working Paper 3'!$E$13</f>
        <v>139.5775929132339</v>
      </c>
      <c r="J99" s="299">
        <f t="shared" si="45"/>
        <v>139</v>
      </c>
      <c r="K99" s="294"/>
      <c r="L99" s="317"/>
      <c r="M99" s="298">
        <f>'Working Paper 3'!$G$13</f>
        <v>285.31047780447233</v>
      </c>
      <c r="N99" s="300">
        <f t="shared" si="46"/>
        <v>285</v>
      </c>
      <c r="O99" s="294"/>
      <c r="P99" s="317"/>
      <c r="Q99" s="341"/>
      <c r="R99" s="337"/>
      <c r="S99" s="318"/>
      <c r="T99" s="338"/>
      <c r="U99" s="317"/>
      <c r="V99" s="387"/>
      <c r="W99" s="427"/>
      <c r="X99" s="427"/>
      <c r="Y99" s="427"/>
      <c r="Z99" s="427"/>
      <c r="AA99" s="427"/>
      <c r="AB99" s="427"/>
      <c r="AC99" s="427"/>
      <c r="AD99" s="427"/>
      <c r="AE99" s="427"/>
      <c r="AF99" s="427"/>
      <c r="AG99" s="427"/>
      <c r="AH99" s="427"/>
      <c r="AI99" s="427"/>
      <c r="AJ99" s="427"/>
      <c r="AK99" s="427"/>
      <c r="AL99" s="427"/>
      <c r="AM99" s="427"/>
      <c r="AN99" s="427"/>
      <c r="AO99" s="291"/>
    </row>
    <row r="100" spans="1:41" ht="22.15" hidden="1" customHeight="1" outlineLevel="1" thickBot="1" x14ac:dyDescent="0.3">
      <c r="A100" s="291"/>
      <c r="B100" s="291"/>
      <c r="C100" s="291"/>
      <c r="D100" s="291"/>
      <c r="E100" s="291"/>
      <c r="F100" s="291"/>
      <c r="G100" s="291"/>
      <c r="H100" s="317"/>
      <c r="I100" s="291"/>
      <c r="J100" s="291"/>
      <c r="K100" s="291"/>
      <c r="L100" s="317"/>
      <c r="M100" s="291"/>
      <c r="N100" s="291"/>
      <c r="O100" s="291"/>
      <c r="P100" s="317"/>
      <c r="Q100" s="317"/>
      <c r="R100" s="317"/>
      <c r="S100" s="317"/>
      <c r="T100" s="317"/>
      <c r="U100" s="317"/>
      <c r="W100" s="319"/>
      <c r="X100" s="319"/>
      <c r="Y100" s="319"/>
      <c r="Z100" s="319"/>
      <c r="AA100" s="319"/>
      <c r="AB100" s="319"/>
      <c r="AC100" s="319"/>
      <c r="AD100" s="319"/>
      <c r="AE100" s="319"/>
      <c r="AF100" s="319"/>
      <c r="AG100" s="319"/>
      <c r="AH100" s="319"/>
      <c r="AI100" s="319"/>
      <c r="AJ100" s="319"/>
      <c r="AK100" s="319"/>
      <c r="AL100" s="319"/>
      <c r="AM100" s="319"/>
      <c r="AN100" s="319"/>
      <c r="AO100" s="291"/>
    </row>
    <row r="101" spans="1:41" ht="22.15" hidden="1" customHeight="1" outlineLevel="1" thickBot="1" x14ac:dyDescent="0.3">
      <c r="A101" s="291"/>
      <c r="B101" s="291"/>
      <c r="C101" s="291"/>
      <c r="D101" s="291"/>
      <c r="E101" s="315">
        <f>SUM(E92:E100)</f>
        <v>1</v>
      </c>
      <c r="F101" s="316">
        <f>SUM(F92:F100)</f>
        <v>1.0003</v>
      </c>
      <c r="G101" s="291"/>
      <c r="H101" s="317"/>
      <c r="I101" s="313">
        <f>J112/A112*10000</f>
        <v>145.13100099066577</v>
      </c>
      <c r="J101" s="314">
        <f>I112</f>
        <v>145.12236329101268</v>
      </c>
      <c r="K101" s="291"/>
      <c r="L101" s="317"/>
      <c r="M101" s="311">
        <f>N112/A112*10000</f>
        <v>78.508438139553675</v>
      </c>
      <c r="N101" s="312">
        <f>M112</f>
        <v>71.212336299110248</v>
      </c>
      <c r="O101" s="291"/>
      <c r="P101" s="317"/>
      <c r="Q101" s="291"/>
      <c r="R101" s="414">
        <v>100</v>
      </c>
      <c r="S101" s="415">
        <f>S98*1</f>
        <v>1</v>
      </c>
      <c r="T101" s="414"/>
      <c r="U101" s="317"/>
      <c r="AO101" s="291"/>
    </row>
    <row r="102" spans="1:41" ht="22.15" customHeight="1" collapsed="1" x14ac:dyDescent="0.25">
      <c r="A102" s="291"/>
      <c r="B102" s="291"/>
      <c r="C102" s="291"/>
      <c r="D102" s="291"/>
      <c r="E102" s="291"/>
      <c r="F102" s="291"/>
      <c r="H102" s="317"/>
      <c r="I102" s="291"/>
      <c r="J102" s="291"/>
      <c r="K102" s="291"/>
      <c r="L102" s="317"/>
      <c r="M102" s="291"/>
      <c r="N102" s="291"/>
      <c r="O102" s="291"/>
      <c r="P102" s="317"/>
      <c r="Q102" s="317"/>
      <c r="R102" s="317"/>
      <c r="S102" s="317"/>
      <c r="T102" s="317"/>
      <c r="U102" s="317"/>
      <c r="AO102" s="291"/>
    </row>
    <row r="103" spans="1:41" ht="22.15" hidden="1" customHeight="1" outlineLevel="1" thickBot="1" x14ac:dyDescent="0.3">
      <c r="A103" s="305">
        <f>E92*'Working Paper 3'!$D$15</f>
        <v>7773747.9000000004</v>
      </c>
      <c r="B103" s="305"/>
      <c r="C103" s="305"/>
      <c r="D103" s="291" t="s">
        <v>124</v>
      </c>
      <c r="E103" s="292">
        <v>534</v>
      </c>
      <c r="F103" s="305">
        <f>F92*$A$25</f>
        <v>7775805.6171600027</v>
      </c>
      <c r="G103" s="291"/>
      <c r="H103" s="317"/>
      <c r="I103" s="296">
        <v>155</v>
      </c>
      <c r="J103" s="451">
        <f>I92*A103/10000</f>
        <v>120445.7818181818</v>
      </c>
      <c r="K103" s="306">
        <f t="shared" ref="K103:K110" si="47">J92*F103/10000</f>
        <v>120524.98706598005</v>
      </c>
      <c r="L103" s="317"/>
      <c r="M103" s="296">
        <v>170</v>
      </c>
      <c r="N103" s="451">
        <f>M92*A103/10000</f>
        <v>131934.40999999997</v>
      </c>
      <c r="O103" s="306">
        <f t="shared" ref="O103:O110" si="48">N92*F103/10000</f>
        <v>132188.69549172005</v>
      </c>
      <c r="P103" s="317"/>
      <c r="Q103" s="463" t="s">
        <v>113</v>
      </c>
      <c r="R103" s="359">
        <v>999</v>
      </c>
      <c r="S103" s="464">
        <f>R92*$A$25/10000</f>
        <v>145468.72306260004</v>
      </c>
      <c r="T103" s="362">
        <f>R103*F112/1000000</f>
        <v>145512.36367951886</v>
      </c>
      <c r="U103" s="317"/>
      <c r="AO103" s="291"/>
    </row>
    <row r="104" spans="1:41" ht="22.15" hidden="1" customHeight="1" outlineLevel="1" thickBot="1" x14ac:dyDescent="0.3">
      <c r="A104" s="305">
        <f>E93*'Working Paper 3'!$D$15</f>
        <v>46435674.090000018</v>
      </c>
      <c r="B104" s="305"/>
      <c r="C104" s="305"/>
      <c r="D104" s="291" t="s">
        <v>3</v>
      </c>
      <c r="E104" s="292">
        <v>3189</v>
      </c>
      <c r="F104" s="305">
        <f t="shared" ref="F104:F110" si="49">F93*$A$25</f>
        <v>46436412.196860015</v>
      </c>
      <c r="I104" s="297">
        <v>143</v>
      </c>
      <c r="J104" s="451">
        <f t="shared" ref="J104:J110" si="50">I93*A104/10000</f>
        <v>663995.53636363626</v>
      </c>
      <c r="K104" s="306">
        <f t="shared" si="47"/>
        <v>664040.69441509817</v>
      </c>
      <c r="M104" s="297">
        <v>28</v>
      </c>
      <c r="N104" s="451">
        <f t="shared" ref="N104:N110" si="51">M93*A104/10000</f>
        <v>133087.70000000001</v>
      </c>
      <c r="O104" s="306">
        <f t="shared" si="48"/>
        <v>130021.95415120805</v>
      </c>
      <c r="Q104" s="463" t="s">
        <v>115</v>
      </c>
      <c r="R104" s="359">
        <v>289</v>
      </c>
      <c r="S104" s="464">
        <f t="shared" ref="S104:S105" si="52">R93*$A$25/10000</f>
        <v>42082.543508600014</v>
      </c>
      <c r="T104" s="362">
        <f>R104*F112/1000000</f>
        <v>42095.168271652597</v>
      </c>
    </row>
    <row r="105" spans="1:41" ht="22.15" hidden="1" customHeight="1" outlineLevel="1" thickBot="1" x14ac:dyDescent="0.3">
      <c r="A105" s="305">
        <f>E94*'Working Paper 3'!$D$15</f>
        <v>5845626.4700000016</v>
      </c>
      <c r="B105" s="305"/>
      <c r="C105" s="305"/>
      <c r="D105" s="291" t="s">
        <v>4</v>
      </c>
      <c r="E105" s="292">
        <v>403</v>
      </c>
      <c r="F105" s="305">
        <f t="shared" si="49"/>
        <v>5868257.7972200019</v>
      </c>
      <c r="I105" s="297">
        <v>143</v>
      </c>
      <c r="J105" s="451">
        <f t="shared" si="50"/>
        <v>83860.490909090862</v>
      </c>
      <c r="K105" s="306">
        <f t="shared" si="47"/>
        <v>83916.08650024602</v>
      </c>
      <c r="M105" s="297">
        <v>60</v>
      </c>
      <c r="N105" s="451">
        <f t="shared" si="51"/>
        <v>35211.755454545455</v>
      </c>
      <c r="O105" s="306">
        <f t="shared" si="48"/>
        <v>35209.546783320009</v>
      </c>
      <c r="Q105" s="465" t="s">
        <v>116</v>
      </c>
      <c r="R105" s="359">
        <v>469</v>
      </c>
      <c r="S105" s="464">
        <f t="shared" si="52"/>
        <v>68293.124240600024</v>
      </c>
      <c r="T105" s="362">
        <f>R105*F112/1000000</f>
        <v>68313.612177872201</v>
      </c>
    </row>
    <row r="106" spans="1:41" ht="22.15" hidden="1" customHeight="1" outlineLevel="1" x14ac:dyDescent="0.25">
      <c r="A106" s="305">
        <f>E95*'Working Paper 3'!$D$15</f>
        <v>32721693.030000001</v>
      </c>
      <c r="B106" s="305"/>
      <c r="C106" s="305"/>
      <c r="D106" s="291" t="s">
        <v>5</v>
      </c>
      <c r="E106" s="292">
        <v>2247</v>
      </c>
      <c r="F106" s="305">
        <f t="shared" si="49"/>
        <v>32719541.61378001</v>
      </c>
      <c r="I106" s="297">
        <v>143</v>
      </c>
      <c r="J106" s="451">
        <f t="shared" si="50"/>
        <v>468632.70909090899</v>
      </c>
      <c r="K106" s="306">
        <f t="shared" si="47"/>
        <v>467889.44507705414</v>
      </c>
      <c r="M106" s="297">
        <v>66</v>
      </c>
      <c r="N106" s="451">
        <f t="shared" si="51"/>
        <v>215727.4118181818</v>
      </c>
      <c r="O106" s="306">
        <f t="shared" si="48"/>
        <v>215948.97465094805</v>
      </c>
      <c r="Q106" s="452"/>
      <c r="R106" s="452"/>
      <c r="S106" s="452"/>
      <c r="T106" s="454"/>
    </row>
    <row r="107" spans="1:41" ht="22.15" hidden="1" customHeight="1" outlineLevel="1" x14ac:dyDescent="0.25">
      <c r="A107" s="305">
        <f>E96*'Working Paper 3'!$D$15</f>
        <v>37104582.900000006</v>
      </c>
      <c r="B107" s="305"/>
      <c r="C107" s="305"/>
      <c r="D107" s="291" t="s">
        <v>125</v>
      </c>
      <c r="E107" s="292">
        <v>2548</v>
      </c>
      <c r="F107" s="305">
        <f t="shared" si="49"/>
        <v>37102533.169520013</v>
      </c>
      <c r="I107" s="297">
        <v>149</v>
      </c>
      <c r="J107" s="451">
        <f t="shared" si="50"/>
        <v>551713.47272727301</v>
      </c>
      <c r="K107" s="306">
        <f t="shared" si="47"/>
        <v>552827.74422584823</v>
      </c>
      <c r="M107" s="297">
        <v>70</v>
      </c>
      <c r="N107" s="451">
        <f t="shared" si="51"/>
        <v>374267.73727272736</v>
      </c>
      <c r="O107" s="306">
        <f t="shared" si="48"/>
        <v>259717.73218664006</v>
      </c>
      <c r="Q107" s="452"/>
      <c r="R107" s="452"/>
      <c r="S107" s="452"/>
      <c r="T107" s="454"/>
    </row>
    <row r="108" spans="1:41" ht="22.15" hidden="1" customHeight="1" outlineLevel="1" x14ac:dyDescent="0.25">
      <c r="A108" s="305">
        <f>E97*'Working Paper 3'!$D$15</f>
        <v>8618063.129999999</v>
      </c>
      <c r="B108" s="305"/>
      <c r="C108" s="305"/>
      <c r="D108" s="291" t="s">
        <v>7</v>
      </c>
      <c r="E108" s="292">
        <v>592</v>
      </c>
      <c r="F108" s="305">
        <f t="shared" si="49"/>
        <v>8620368.7740800027</v>
      </c>
      <c r="I108" s="297">
        <v>143</v>
      </c>
      <c r="J108" s="451">
        <f t="shared" si="50"/>
        <v>123228.3454545454</v>
      </c>
      <c r="K108" s="306">
        <f t="shared" si="47"/>
        <v>123271.27346934404</v>
      </c>
      <c r="M108" s="297">
        <v>55</v>
      </c>
      <c r="N108" s="451">
        <f t="shared" si="51"/>
        <v>47321.164545454551</v>
      </c>
      <c r="O108" s="306">
        <f t="shared" si="48"/>
        <v>47412.028257440012</v>
      </c>
      <c r="Q108" s="452"/>
      <c r="R108" s="452"/>
      <c r="S108" s="452"/>
      <c r="T108" s="454"/>
      <c r="V108" s="320"/>
      <c r="W108" s="297"/>
      <c r="X108" s="297"/>
      <c r="Y108" s="297"/>
    </row>
    <row r="109" spans="1:41" ht="22.15" hidden="1" customHeight="1" outlineLevel="1" x14ac:dyDescent="0.25">
      <c r="A109" s="305">
        <f>E98*'Working Paper 3'!$D$15</f>
        <v>3623457.5800000005</v>
      </c>
      <c r="B109" s="305"/>
      <c r="C109" s="305"/>
      <c r="D109" s="291" t="s">
        <v>126</v>
      </c>
      <c r="E109" s="292">
        <v>249</v>
      </c>
      <c r="F109" s="305">
        <f t="shared" si="49"/>
        <v>3625797.0012600007</v>
      </c>
      <c r="I109" s="297">
        <v>145</v>
      </c>
      <c r="J109" s="451">
        <f t="shared" si="50"/>
        <v>52705.709090909069</v>
      </c>
      <c r="K109" s="306">
        <f t="shared" si="47"/>
        <v>52574.056518270008</v>
      </c>
      <c r="M109" s="297">
        <v>322</v>
      </c>
      <c r="N109" s="451">
        <f t="shared" si="51"/>
        <v>106029.30727272728</v>
      </c>
      <c r="O109" s="306">
        <f t="shared" si="48"/>
        <v>116750.66344057203</v>
      </c>
      <c r="Q109" s="452"/>
      <c r="R109" s="452"/>
      <c r="S109" s="452"/>
      <c r="T109" s="454"/>
    </row>
    <row r="110" spans="1:41" ht="22.15" hidden="1" customHeight="1" outlineLevel="1" x14ac:dyDescent="0.25">
      <c r="A110" s="305">
        <f>E99*'Working Paper 3'!$D$15</f>
        <v>3491492.3000000003</v>
      </c>
      <c r="B110" s="305"/>
      <c r="C110" s="305"/>
      <c r="D110" s="291" t="s">
        <v>127</v>
      </c>
      <c r="E110" s="292">
        <v>241</v>
      </c>
      <c r="F110" s="305">
        <f t="shared" si="49"/>
        <v>3509305.5313400007</v>
      </c>
      <c r="I110" s="297">
        <v>139</v>
      </c>
      <c r="J110" s="451">
        <f t="shared" si="50"/>
        <v>48733.409090909074</v>
      </c>
      <c r="K110" s="306">
        <f t="shared" si="47"/>
        <v>48779.346885626015</v>
      </c>
      <c r="M110" s="297">
        <v>285</v>
      </c>
      <c r="N110" s="451">
        <f t="shared" si="51"/>
        <v>99615.93363636361</v>
      </c>
      <c r="O110" s="306">
        <f t="shared" si="48"/>
        <v>100015.20764319002</v>
      </c>
      <c r="Q110" s="452"/>
      <c r="R110" s="452"/>
      <c r="S110" s="452"/>
      <c r="T110" s="454"/>
    </row>
    <row r="111" spans="1:41" ht="22.15" hidden="1" customHeight="1" outlineLevel="1" x14ac:dyDescent="0.25">
      <c r="E111" s="291"/>
      <c r="I111" s="297"/>
      <c r="Q111" s="452"/>
      <c r="R111" s="452"/>
      <c r="S111" s="452"/>
      <c r="T111" s="452"/>
    </row>
    <row r="112" spans="1:41" ht="22.15" hidden="1" customHeight="1" outlineLevel="1" x14ac:dyDescent="0.25">
      <c r="A112" s="71">
        <f>SUM(A103:A111)</f>
        <v>145614337.40000004</v>
      </c>
      <c r="B112" s="71"/>
      <c r="C112" s="71"/>
      <c r="E112" s="308">
        <f>SUM(E103:E111)</f>
        <v>10003</v>
      </c>
      <c r="F112" s="71">
        <f>SUM(F103:F110)</f>
        <v>145658021.70122007</v>
      </c>
      <c r="I112" s="297">
        <f>K112/F112*10000</f>
        <v>145.12236329101268</v>
      </c>
      <c r="J112" s="149">
        <f>SUM(J103:J111)</f>
        <v>2113315.4545454546</v>
      </c>
      <c r="K112" s="149">
        <f>SUM(K103:K111)</f>
        <v>2113823.6341574667</v>
      </c>
      <c r="M112" s="297">
        <f>O112/F112*10000</f>
        <v>71.212336299110248</v>
      </c>
      <c r="N112" s="149">
        <f>SUM(N103:N111)</f>
        <v>1143195.4200000002</v>
      </c>
      <c r="O112" s="149">
        <f>SUM(O103:O111)</f>
        <v>1037264.8026050382</v>
      </c>
      <c r="P112" s="320"/>
      <c r="Q112" s="457"/>
      <c r="R112" s="457">
        <f>S112/A112*10000</f>
        <v>17.57</v>
      </c>
      <c r="S112" s="459">
        <f>SUM(S103:S111)</f>
        <v>255844.39081180008</v>
      </c>
      <c r="T112" s="459">
        <f>SUM(T103:T110)</f>
        <v>255921.14412904368</v>
      </c>
      <c r="U112" s="320"/>
    </row>
    <row r="113" spans="1:40" ht="22.15" hidden="1" customHeight="1" outlineLevel="1" x14ac:dyDescent="0.25">
      <c r="O113" s="149">
        <f>K112-O112</f>
        <v>1076558.8315524287</v>
      </c>
    </row>
    <row r="114" spans="1:40" ht="22.15" hidden="1" customHeight="1" outlineLevel="1" x14ac:dyDescent="0.25"/>
    <row r="115" spans="1:40" ht="22.15" customHeight="1" collapsed="1" x14ac:dyDescent="0.25"/>
    <row r="118" spans="1:40" ht="22.15" hidden="1" customHeight="1" outlineLevel="1" x14ac:dyDescent="0.35">
      <c r="E118" s="468" t="s">
        <v>136</v>
      </c>
      <c r="G118" s="470" t="s">
        <v>137</v>
      </c>
      <c r="H118" s="469"/>
      <c r="I118" s="468"/>
      <c r="J118" s="468"/>
      <c r="K118" s="280"/>
      <c r="L118" s="327"/>
      <c r="M118" s="280"/>
    </row>
    <row r="119" spans="1:40" ht="22.15" hidden="1" customHeight="1" outlineLevel="1" thickBot="1" x14ac:dyDescent="0.3">
      <c r="A119" s="291"/>
      <c r="B119" s="291"/>
      <c r="C119" s="291"/>
      <c r="D119" s="291"/>
      <c r="E119" s="291"/>
      <c r="F119" s="291"/>
      <c r="G119" s="291"/>
      <c r="H119" s="317"/>
      <c r="I119" s="291"/>
      <c r="J119" s="291"/>
      <c r="K119" s="291"/>
      <c r="L119" s="317"/>
      <c r="M119" s="291"/>
      <c r="N119" s="291"/>
      <c r="O119" s="291"/>
      <c r="P119" s="317"/>
      <c r="Q119" s="317"/>
      <c r="R119" s="317"/>
      <c r="S119" s="317"/>
      <c r="T119" s="317"/>
    </row>
    <row r="120" spans="1:40" ht="22.15" hidden="1" customHeight="1" outlineLevel="1" thickBot="1" x14ac:dyDescent="0.3">
      <c r="A120" s="291"/>
      <c r="B120" s="291"/>
      <c r="C120" s="291"/>
      <c r="D120" s="291"/>
      <c r="E120" s="739" t="s">
        <v>101</v>
      </c>
      <c r="F120" s="745"/>
      <c r="G120" s="746"/>
      <c r="H120" s="323"/>
      <c r="I120" s="741" t="s">
        <v>102</v>
      </c>
      <c r="J120" s="747"/>
      <c r="K120" s="748"/>
      <c r="L120" s="323"/>
      <c r="M120" s="743" t="s">
        <v>103</v>
      </c>
      <c r="N120" s="749"/>
      <c r="O120" s="750"/>
      <c r="P120" s="323"/>
      <c r="Q120" s="323"/>
      <c r="R120" s="757" t="s">
        <v>104</v>
      </c>
      <c r="S120" s="758"/>
      <c r="T120" s="759"/>
      <c r="V120" s="321"/>
      <c r="W120" s="820" t="s">
        <v>105</v>
      </c>
      <c r="X120" s="821"/>
      <c r="Y120" s="822"/>
      <c r="Z120" s="787" t="s">
        <v>51</v>
      </c>
      <c r="AA120" s="787"/>
      <c r="AB120" s="824"/>
      <c r="AC120" s="786" t="s">
        <v>133</v>
      </c>
      <c r="AD120" s="787"/>
      <c r="AE120" s="824"/>
      <c r="AF120" s="786" t="s">
        <v>107</v>
      </c>
      <c r="AG120" s="787"/>
      <c r="AH120" s="825"/>
      <c r="AI120" s="805" t="s">
        <v>108</v>
      </c>
      <c r="AJ120" s="805"/>
      <c r="AK120" s="806"/>
      <c r="AL120" s="782" t="s">
        <v>109</v>
      </c>
      <c r="AM120" s="831"/>
      <c r="AN120" s="832"/>
    </row>
    <row r="121" spans="1:40" ht="22.15" hidden="1" customHeight="1" outlineLevel="1" thickBot="1" x14ac:dyDescent="0.3">
      <c r="A121" s="291"/>
      <c r="B121" s="291"/>
      <c r="C121" s="291"/>
      <c r="D121" s="291"/>
      <c r="E121" s="325" t="s">
        <v>110</v>
      </c>
      <c r="F121" s="739" t="s">
        <v>111</v>
      </c>
      <c r="G121" s="740"/>
      <c r="H121" s="322"/>
      <c r="I121" s="302" t="s">
        <v>110</v>
      </c>
      <c r="J121" s="741" t="s">
        <v>112</v>
      </c>
      <c r="K121" s="742"/>
      <c r="L121" s="322"/>
      <c r="M121" s="302" t="s">
        <v>110</v>
      </c>
      <c r="N121" s="743" t="s">
        <v>112</v>
      </c>
      <c r="O121" s="744"/>
      <c r="P121" s="322"/>
      <c r="Q121" s="322"/>
      <c r="R121" s="328" t="s">
        <v>110</v>
      </c>
      <c r="S121" s="760" t="s">
        <v>112</v>
      </c>
      <c r="T121" s="761"/>
      <c r="V121" s="322"/>
      <c r="W121" s="823"/>
      <c r="X121" s="790"/>
      <c r="Y121" s="791"/>
      <c r="Z121" s="790"/>
      <c r="AA121" s="790"/>
      <c r="AB121" s="790"/>
      <c r="AC121" s="789"/>
      <c r="AD121" s="790"/>
      <c r="AE121" s="790"/>
      <c r="AF121" s="789"/>
      <c r="AG121" s="790"/>
      <c r="AH121" s="826"/>
      <c r="AI121" s="807"/>
      <c r="AJ121" s="807"/>
      <c r="AK121" s="807"/>
      <c r="AL121" s="833"/>
      <c r="AM121" s="834"/>
      <c r="AN121" s="834"/>
    </row>
    <row r="122" spans="1:40" ht="58.5" hidden="1" customHeight="1" outlineLevel="1" thickBot="1" x14ac:dyDescent="0.3">
      <c r="A122" s="291"/>
      <c r="B122" s="291"/>
      <c r="C122" s="291"/>
      <c r="D122" s="301" t="s">
        <v>124</v>
      </c>
      <c r="E122" s="309">
        <f>'Working Paper 3'!$C$6</f>
        <v>5.3385868718721363E-2</v>
      </c>
      <c r="F122" s="295">
        <f t="shared" ref="F122:F129" si="53">E133/10000</f>
        <v>5.3400000000000003E-2</v>
      </c>
      <c r="G122" s="293"/>
      <c r="H122" s="324"/>
      <c r="I122" s="298">
        <f>'Working Paper 3'!$E$6</f>
        <v>154.93914051185246</v>
      </c>
      <c r="J122" s="299">
        <f>I133</f>
        <v>178</v>
      </c>
      <c r="K122" s="294"/>
      <c r="L122" s="317"/>
      <c r="M122" s="298">
        <f>'Working Paper 3'!$G$6</f>
        <v>169.71789116032431</v>
      </c>
      <c r="N122" s="300">
        <f>M133</f>
        <v>169</v>
      </c>
      <c r="O122" s="294"/>
      <c r="P122" s="317"/>
      <c r="Q122" s="329" t="s">
        <v>113</v>
      </c>
      <c r="R122" s="334">
        <v>9.99</v>
      </c>
      <c r="S122" s="352">
        <f>R133/100</f>
        <v>9.99</v>
      </c>
      <c r="T122" s="330"/>
      <c r="V122" s="814" t="s">
        <v>110</v>
      </c>
      <c r="W122" s="844">
        <f>'Working Paper 3'!$F$15</f>
        <v>2113315.4545454546</v>
      </c>
      <c r="X122" s="842"/>
      <c r="Y122" s="845"/>
      <c r="Z122" s="846">
        <f>'Working Paper 3'!$H$15</f>
        <v>1143195.4200000002</v>
      </c>
      <c r="AA122" s="842"/>
      <c r="AB122" s="845"/>
      <c r="AC122" s="846">
        <f>'Working Paper 3'!$J$15</f>
        <v>970120.0345454542</v>
      </c>
      <c r="AD122" s="842"/>
      <c r="AE122" s="845"/>
      <c r="AF122" s="847">
        <f>'Working Paper 3'!$J$15/'Working Paper 3'!$F$15</f>
        <v>0.45905121852909264</v>
      </c>
      <c r="AG122" s="842"/>
      <c r="AH122" s="843"/>
      <c r="AI122" s="844">
        <f>S142</f>
        <v>255844.39081180008</v>
      </c>
      <c r="AJ122" s="842"/>
      <c r="AK122" s="842"/>
      <c r="AL122" s="841">
        <f>AC122-AI122</f>
        <v>714275.64373365417</v>
      </c>
      <c r="AM122" s="842"/>
      <c r="AN122" s="843"/>
    </row>
    <row r="123" spans="1:40" ht="58.5" hidden="1" customHeight="1" outlineLevel="1" thickBot="1" x14ac:dyDescent="0.3">
      <c r="A123" s="291"/>
      <c r="B123" s="291"/>
      <c r="C123" s="291"/>
      <c r="D123" s="301" t="s">
        <v>3</v>
      </c>
      <c r="E123" s="309">
        <f>'Working Paper 3'!$C$7</f>
        <v>0.31889493108389483</v>
      </c>
      <c r="F123" s="295">
        <f t="shared" si="53"/>
        <v>0.31890000000000002</v>
      </c>
      <c r="G123" s="294"/>
      <c r="H123" s="317"/>
      <c r="I123" s="298">
        <f>'Working Paper 3'!$E$7</f>
        <v>142.99254815956868</v>
      </c>
      <c r="J123" s="299">
        <f t="shared" ref="J123:J129" si="54">I134</f>
        <v>65</v>
      </c>
      <c r="K123" s="294"/>
      <c r="L123" s="317"/>
      <c r="M123" s="298">
        <f>'Working Paper 3'!$G$7</f>
        <v>28.660658557912612</v>
      </c>
      <c r="N123" s="300">
        <f t="shared" ref="N123:N129" si="55">M134</f>
        <v>28</v>
      </c>
      <c r="O123" s="294"/>
      <c r="P123" s="317"/>
      <c r="Q123" s="329" t="s">
        <v>115</v>
      </c>
      <c r="R123" s="334">
        <v>2.89</v>
      </c>
      <c r="S123" s="352">
        <f>R134/100</f>
        <v>2.89</v>
      </c>
      <c r="T123" s="330"/>
      <c r="V123" s="815"/>
      <c r="W123" s="808">
        <f>I131</f>
        <v>145.13100099066577</v>
      </c>
      <c r="X123" s="809"/>
      <c r="Y123" s="810"/>
      <c r="Z123" s="792">
        <f>M131</f>
        <v>78.508438139553675</v>
      </c>
      <c r="AA123" s="809"/>
      <c r="AB123" s="810"/>
      <c r="AC123" s="792">
        <f>W123-Z123</f>
        <v>66.622562851112093</v>
      </c>
      <c r="AD123" s="793"/>
      <c r="AE123" s="794"/>
      <c r="AF123" s="776"/>
      <c r="AG123" s="777"/>
      <c r="AH123" s="778"/>
      <c r="AI123" s="830">
        <f>R125</f>
        <v>17.57</v>
      </c>
      <c r="AJ123" s="809"/>
      <c r="AK123" s="810"/>
      <c r="AL123" s="792">
        <f>AC123-AI123</f>
        <v>49.052562851112093</v>
      </c>
      <c r="AM123" s="809"/>
      <c r="AN123" s="836"/>
    </row>
    <row r="124" spans="1:40" ht="58.5" hidden="1" customHeight="1" outlineLevel="1" thickBot="1" x14ac:dyDescent="0.3">
      <c r="A124" s="291"/>
      <c r="B124" s="291"/>
      <c r="C124" s="291"/>
      <c r="D124" s="301" t="s">
        <v>4</v>
      </c>
      <c r="E124" s="309">
        <f>'Working Paper 3'!$C$8</f>
        <v>4.0144580364653022E-2</v>
      </c>
      <c r="F124" s="295">
        <f t="shared" si="53"/>
        <v>4.0099999999999997E-2</v>
      </c>
      <c r="G124" s="326"/>
      <c r="H124" s="317"/>
      <c r="I124" s="298">
        <f>'Working Paper 3'!$E$8</f>
        <v>143.45851781578313</v>
      </c>
      <c r="J124" s="299">
        <f t="shared" si="54"/>
        <v>159</v>
      </c>
      <c r="K124" s="294"/>
      <c r="L124" s="317"/>
      <c r="M124" s="298">
        <f>'Working Paper 3'!$G$8</f>
        <v>60.236068170372583</v>
      </c>
      <c r="N124" s="300">
        <f t="shared" si="55"/>
        <v>60</v>
      </c>
      <c r="O124" s="294"/>
      <c r="P124" s="317"/>
      <c r="Q124" s="331" t="s">
        <v>116</v>
      </c>
      <c r="R124" s="334">
        <v>4.6900000000000004</v>
      </c>
      <c r="S124" s="352">
        <f>R135/100</f>
        <v>4.6900000000000004</v>
      </c>
      <c r="T124" s="330"/>
      <c r="V124" s="812" t="s">
        <v>134</v>
      </c>
      <c r="W124" s="779">
        <f>K142*S128</f>
        <v>1585406.6774533545</v>
      </c>
      <c r="X124" s="752"/>
      <c r="Y124" s="753"/>
      <c r="Z124" s="766">
        <f>O142*S128</f>
        <v>1004680.6823250402</v>
      </c>
      <c r="AA124" s="752"/>
      <c r="AB124" s="753"/>
      <c r="AC124" s="766">
        <f>W124-Z124</f>
        <v>580725.99512831424</v>
      </c>
      <c r="AD124" s="752"/>
      <c r="AE124" s="753"/>
      <c r="AF124" s="811">
        <f>AC124/K142</f>
        <v>0.36629465700317149</v>
      </c>
      <c r="AG124" s="752"/>
      <c r="AH124" s="828"/>
      <c r="AI124" s="779">
        <f>S142*S128</f>
        <v>255844.39081180008</v>
      </c>
      <c r="AJ124" s="752"/>
      <c r="AK124" s="752"/>
      <c r="AL124" s="840">
        <f>AC124-AI124</f>
        <v>324881.60431651416</v>
      </c>
      <c r="AM124" s="752"/>
      <c r="AN124" s="828"/>
    </row>
    <row r="125" spans="1:40" ht="58.5" hidden="1" customHeight="1" outlineLevel="1" thickBot="1" x14ac:dyDescent="0.3">
      <c r="A125" s="291"/>
      <c r="B125" s="291"/>
      <c r="C125" s="291"/>
      <c r="D125" s="301" t="s">
        <v>5</v>
      </c>
      <c r="E125" s="309">
        <f>'Working Paper 3'!$C$9</f>
        <v>0.22471477475541493</v>
      </c>
      <c r="F125" s="295">
        <f t="shared" si="53"/>
        <v>0.22470000000000001</v>
      </c>
      <c r="G125" s="294"/>
      <c r="H125" s="317"/>
      <c r="I125" s="298">
        <f>'Working Paper 3'!$E$9</f>
        <v>143.21774507854948</v>
      </c>
      <c r="J125" s="299">
        <f t="shared" si="54"/>
        <v>65</v>
      </c>
      <c r="K125" s="294"/>
      <c r="L125" s="317"/>
      <c r="M125" s="298">
        <f>'Working Paper 3'!$G$9</f>
        <v>65.927949272184037</v>
      </c>
      <c r="N125" s="300">
        <f t="shared" si="55"/>
        <v>66</v>
      </c>
      <c r="O125" s="294"/>
      <c r="P125" s="317"/>
      <c r="Q125" s="340"/>
      <c r="R125" s="332">
        <f>S142/A142*10000</f>
        <v>17.57</v>
      </c>
      <c r="S125" s="339">
        <f>T142/A142*10000</f>
        <v>17.570000000000004</v>
      </c>
      <c r="T125" s="336"/>
      <c r="V125" s="813"/>
      <c r="W125" s="780">
        <f>J131*$S$68</f>
        <v>108.87709999999998</v>
      </c>
      <c r="X125" s="768"/>
      <c r="Y125" s="769"/>
      <c r="Z125" s="767">
        <f>N131*S128</f>
        <v>68.995999999999981</v>
      </c>
      <c r="AA125" s="768"/>
      <c r="AB125" s="769"/>
      <c r="AC125" s="767">
        <f>W125-Z125</f>
        <v>39.881100000000004</v>
      </c>
      <c r="AD125" s="768"/>
      <c r="AE125" s="768"/>
      <c r="AF125" s="816"/>
      <c r="AG125" s="817"/>
      <c r="AH125" s="818"/>
      <c r="AI125" s="819">
        <f>S125*S128</f>
        <v>17.570000000000004</v>
      </c>
      <c r="AJ125" s="768"/>
      <c r="AK125" s="768"/>
      <c r="AL125" s="767">
        <f>AC125-AI125</f>
        <v>22.3111</v>
      </c>
      <c r="AM125" s="768"/>
      <c r="AN125" s="837"/>
    </row>
    <row r="126" spans="1:40" ht="58.5" hidden="1" customHeight="1" outlineLevel="1" thickBot="1" x14ac:dyDescent="0.3">
      <c r="A126" s="291"/>
      <c r="B126" s="291"/>
      <c r="C126" s="291"/>
      <c r="D126" s="301" t="s">
        <v>125</v>
      </c>
      <c r="E126" s="309">
        <f>'Working Paper 3'!$C$10</f>
        <v>0.25481407643310816</v>
      </c>
      <c r="F126" s="295">
        <f t="shared" si="53"/>
        <v>0.25480000000000003</v>
      </c>
      <c r="G126" s="294"/>
      <c r="H126" s="317"/>
      <c r="I126" s="298">
        <f>'Working Paper 3'!$E$10</f>
        <v>148.69146331982427</v>
      </c>
      <c r="J126" s="299">
        <f t="shared" si="54"/>
        <v>159</v>
      </c>
      <c r="K126" s="294"/>
      <c r="L126" s="317"/>
      <c r="M126" s="298">
        <f>'Working Paper 3'!$G$10</f>
        <v>100.86833162399658</v>
      </c>
      <c r="N126" s="300">
        <f t="shared" si="55"/>
        <v>70</v>
      </c>
      <c r="O126" s="294"/>
      <c r="P126" s="317"/>
      <c r="Q126" s="340"/>
      <c r="T126" s="336"/>
      <c r="V126" s="428" t="s">
        <v>119</v>
      </c>
      <c r="W126" s="751">
        <f t="shared" ref="W126:W127" si="56">W122-W124</f>
        <v>527908.77709210012</v>
      </c>
      <c r="X126" s="752"/>
      <c r="Y126" s="753"/>
      <c r="Z126" s="754">
        <f t="shared" ref="Z126:Z127" si="57">Z122-Z124</f>
        <v>138514.73767495994</v>
      </c>
      <c r="AA126" s="755"/>
      <c r="AB126" s="756"/>
      <c r="AC126" s="775">
        <f t="shared" ref="AC126:AC127" si="58">AC122-AC124</f>
        <v>389394.03941713995</v>
      </c>
      <c r="AD126" s="752"/>
      <c r="AE126" s="752"/>
      <c r="AF126" s="781"/>
      <c r="AG126" s="752"/>
      <c r="AH126" s="753"/>
      <c r="AI126" s="774">
        <f t="shared" ref="AI126:AI127" si="59">AI122-AI124</f>
        <v>0</v>
      </c>
      <c r="AJ126" s="752"/>
      <c r="AK126" s="753"/>
      <c r="AL126" s="827">
        <f t="shared" ref="AL126:AL127" si="60">AL122-AL124</f>
        <v>389394.03941714001</v>
      </c>
      <c r="AM126" s="752"/>
      <c r="AN126" s="828"/>
    </row>
    <row r="127" spans="1:40" ht="58.5" hidden="1" customHeight="1" outlineLevel="1" thickBot="1" x14ac:dyDescent="0.3">
      <c r="A127" s="291"/>
      <c r="B127" s="291"/>
      <c r="C127" s="291"/>
      <c r="D127" s="301" t="s">
        <v>7</v>
      </c>
      <c r="E127" s="309">
        <f>'Working Paper 3'!$C$11</f>
        <v>5.9184166091600793E-2</v>
      </c>
      <c r="F127" s="295">
        <f t="shared" si="53"/>
        <v>5.9200000000000003E-2</v>
      </c>
      <c r="G127" s="294"/>
      <c r="H127" s="317"/>
      <c r="I127" s="298">
        <f>'Working Paper 3'!$E$11</f>
        <v>142.98844600659757</v>
      </c>
      <c r="J127" s="299">
        <f t="shared" si="54"/>
        <v>65</v>
      </c>
      <c r="K127" s="294"/>
      <c r="L127" s="317"/>
      <c r="M127" s="298">
        <f>'Working Paper 3'!$G$11</f>
        <v>54.90928046317822</v>
      </c>
      <c r="N127" s="300">
        <f t="shared" si="55"/>
        <v>55</v>
      </c>
      <c r="O127" s="294"/>
      <c r="P127" s="317"/>
      <c r="Q127" s="340"/>
      <c r="R127" s="719" t="s">
        <v>118</v>
      </c>
      <c r="S127" s="720"/>
      <c r="T127" s="721"/>
      <c r="V127" s="429" t="s">
        <v>120</v>
      </c>
      <c r="W127" s="735">
        <f t="shared" si="56"/>
        <v>36.253900990665784</v>
      </c>
      <c r="X127" s="736"/>
      <c r="Y127" s="737"/>
      <c r="Z127" s="738">
        <f t="shared" si="57"/>
        <v>9.5124381395536943</v>
      </c>
      <c r="AA127" s="736"/>
      <c r="AB127" s="737"/>
      <c r="AC127" s="738">
        <f t="shared" si="58"/>
        <v>26.74146285111209</v>
      </c>
      <c r="AD127" s="736"/>
      <c r="AE127" s="736"/>
      <c r="AF127" s="729"/>
      <c r="AG127" s="730"/>
      <c r="AH127" s="731"/>
      <c r="AI127" s="732">
        <f t="shared" si="59"/>
        <v>0</v>
      </c>
      <c r="AJ127" s="733"/>
      <c r="AK127" s="734"/>
      <c r="AL127" s="838">
        <f t="shared" si="60"/>
        <v>26.741462851112093</v>
      </c>
      <c r="AM127" s="733"/>
      <c r="AN127" s="839"/>
    </row>
    <row r="128" spans="1:40" ht="58.5" hidden="1" customHeight="1" outlineLevel="1" thickBot="1" x14ac:dyDescent="0.3">
      <c r="A128" s="291"/>
      <c r="B128" s="291"/>
      <c r="C128" s="291"/>
      <c r="D128" s="301" t="s">
        <v>126</v>
      </c>
      <c r="E128" s="309">
        <f>'Working Paper 3'!$C$12</f>
        <v>2.4883934128316128E-2</v>
      </c>
      <c r="F128" s="295">
        <f t="shared" si="53"/>
        <v>2.4899999999999999E-2</v>
      </c>
      <c r="G128" s="294"/>
      <c r="H128" s="317"/>
      <c r="I128" s="298">
        <f>'Working Paper 3'!$E$12</f>
        <v>145.45695079148425</v>
      </c>
      <c r="J128" s="299">
        <f t="shared" si="54"/>
        <v>272</v>
      </c>
      <c r="K128" s="294"/>
      <c r="L128" s="317"/>
      <c r="M128" s="298">
        <f>'Working Paper 3'!$G$12</f>
        <v>292.619148787516</v>
      </c>
      <c r="N128" s="300">
        <f t="shared" si="55"/>
        <v>260</v>
      </c>
      <c r="O128" s="294"/>
      <c r="P128" s="317"/>
      <c r="Q128" s="340"/>
      <c r="R128" s="384">
        <v>1</v>
      </c>
      <c r="S128" s="384">
        <f>R131/100</f>
        <v>1</v>
      </c>
      <c r="T128" s="383"/>
    </row>
    <row r="129" spans="1:20" ht="58.5" hidden="1" customHeight="1" outlineLevel="1" thickBot="1" x14ac:dyDescent="0.3">
      <c r="A129" s="291"/>
      <c r="B129" s="291"/>
      <c r="C129" s="291"/>
      <c r="D129" s="301" t="s">
        <v>127</v>
      </c>
      <c r="E129" s="309">
        <f>'Working Paper 3'!$C$13</f>
        <v>2.3977668424290749E-2</v>
      </c>
      <c r="F129" s="295">
        <f t="shared" si="53"/>
        <v>2.4E-2</v>
      </c>
      <c r="G129" s="294"/>
      <c r="H129" s="317"/>
      <c r="I129" s="298">
        <f>'Working Paper 3'!$E$13</f>
        <v>139.5775929132339</v>
      </c>
      <c r="J129" s="299">
        <f t="shared" si="54"/>
        <v>272</v>
      </c>
      <c r="K129" s="294"/>
      <c r="L129" s="317"/>
      <c r="M129" s="298">
        <f>'Working Paper 3'!$G$13</f>
        <v>285.31047780447233</v>
      </c>
      <c r="N129" s="300">
        <f t="shared" si="55"/>
        <v>260</v>
      </c>
      <c r="O129" s="294"/>
      <c r="P129" s="317"/>
      <c r="Q129" s="341"/>
      <c r="R129" s="337"/>
      <c r="S129" s="318"/>
      <c r="T129" s="338"/>
    </row>
    <row r="130" spans="1:20" ht="22.15" hidden="1" customHeight="1" outlineLevel="1" thickBot="1" x14ac:dyDescent="0.3">
      <c r="A130" s="291"/>
      <c r="B130" s="291"/>
      <c r="C130" s="291"/>
      <c r="D130" s="291"/>
      <c r="E130" s="291"/>
      <c r="F130" s="291"/>
      <c r="G130" s="291"/>
      <c r="H130" s="317"/>
      <c r="I130" s="291"/>
      <c r="J130" s="291"/>
      <c r="K130" s="291"/>
      <c r="L130" s="317"/>
      <c r="M130" s="291"/>
      <c r="N130" s="291"/>
      <c r="O130" s="291"/>
      <c r="P130" s="317"/>
      <c r="Q130" s="317"/>
      <c r="R130" s="317"/>
      <c r="S130" s="317"/>
      <c r="T130" s="317"/>
    </row>
    <row r="131" spans="1:20" ht="22.15" hidden="1" customHeight="1" outlineLevel="1" thickBot="1" x14ac:dyDescent="0.3">
      <c r="A131" s="291"/>
      <c r="B131" s="291"/>
      <c r="C131" s="291"/>
      <c r="D131" s="291"/>
      <c r="E131" s="315">
        <f>SUM(E122:E130)</f>
        <v>1</v>
      </c>
      <c r="F131" s="316">
        <f>SUM(F122:F130)</f>
        <v>1</v>
      </c>
      <c r="G131" s="291"/>
      <c r="H131" s="317"/>
      <c r="I131" s="313">
        <f>J142/A142*10000</f>
        <v>145.13100099066577</v>
      </c>
      <c r="J131" s="314">
        <f>I142</f>
        <v>108.87709999999998</v>
      </c>
      <c r="K131" s="291"/>
      <c r="L131" s="317"/>
      <c r="M131" s="311">
        <f>N142/A142*10000</f>
        <v>78.508438139553675</v>
      </c>
      <c r="N131" s="312">
        <f>M142</f>
        <v>68.995999999999981</v>
      </c>
      <c r="O131" s="291"/>
      <c r="P131" s="317"/>
      <c r="Q131" s="291"/>
      <c r="R131" s="414">
        <v>100</v>
      </c>
      <c r="S131" s="415">
        <f>S128*1</f>
        <v>1</v>
      </c>
      <c r="T131" s="414"/>
    </row>
    <row r="132" spans="1:20" ht="22.15" hidden="1" customHeight="1" outlineLevel="1" thickBot="1" x14ac:dyDescent="0.3">
      <c r="A132" s="291"/>
      <c r="B132" s="291"/>
      <c r="C132" s="291"/>
      <c r="D132" s="291"/>
      <c r="E132" s="291"/>
      <c r="F132" s="291"/>
      <c r="G132" s="291"/>
      <c r="H132" s="317"/>
      <c r="I132" s="291"/>
      <c r="J132" s="291"/>
      <c r="K132" s="291"/>
      <c r="L132" s="317"/>
      <c r="M132" s="291"/>
      <c r="N132" s="291"/>
      <c r="O132" s="291"/>
      <c r="P132" s="317"/>
      <c r="Q132" s="317"/>
      <c r="R132" s="317"/>
      <c r="S132" s="317"/>
      <c r="T132" s="317"/>
    </row>
    <row r="133" spans="1:20" ht="22.15" hidden="1" customHeight="1" outlineLevel="1" thickBot="1" x14ac:dyDescent="0.3">
      <c r="A133" s="305">
        <f>E122*'Working Paper 3'!$D$15</f>
        <v>7773747.9000000004</v>
      </c>
      <c r="B133" s="305"/>
      <c r="C133" s="305"/>
      <c r="D133" s="291" t="s">
        <v>124</v>
      </c>
      <c r="E133" s="292">
        <v>534</v>
      </c>
      <c r="F133" s="305">
        <f>F122*$A$25</f>
        <v>7775805.6171600027</v>
      </c>
      <c r="G133" s="291"/>
      <c r="H133" s="317"/>
      <c r="I133" s="296">
        <v>178</v>
      </c>
      <c r="J133" s="451">
        <f>I122*A133/10000</f>
        <v>120445.7818181818</v>
      </c>
      <c r="K133" s="306">
        <f t="shared" ref="K133:K140" si="61">J122*F133/10000</f>
        <v>138409.33998544805</v>
      </c>
      <c r="L133" s="317"/>
      <c r="M133" s="296">
        <v>169</v>
      </c>
      <c r="N133" s="451">
        <f>M122*A133/10000</f>
        <v>131934.40999999997</v>
      </c>
      <c r="O133" s="306">
        <f t="shared" ref="O133:O140" si="62">N122*F133/10000</f>
        <v>131411.11493000406</v>
      </c>
      <c r="P133" s="317"/>
      <c r="Q133" s="463" t="s">
        <v>113</v>
      </c>
      <c r="R133" s="359">
        <v>999</v>
      </c>
      <c r="S133" s="464">
        <f>R122*$A$25/10000</f>
        <v>145468.72306260004</v>
      </c>
      <c r="T133" s="362">
        <f>R133*F142/1000000</f>
        <v>145468.72306260007</v>
      </c>
    </row>
    <row r="134" spans="1:20" ht="22.15" hidden="1" customHeight="1" outlineLevel="1" thickBot="1" x14ac:dyDescent="0.3">
      <c r="A134" s="305">
        <f>E123*'Working Paper 3'!$D$15</f>
        <v>46435674.090000018</v>
      </c>
      <c r="B134" s="305"/>
      <c r="C134" s="305"/>
      <c r="D134" s="291" t="s">
        <v>3</v>
      </c>
      <c r="E134" s="292">
        <v>3189</v>
      </c>
      <c r="F134" s="305">
        <f t="shared" ref="F134:F140" si="63">F123*$A$25</f>
        <v>46436412.196860015</v>
      </c>
      <c r="I134" s="297">
        <v>65</v>
      </c>
      <c r="J134" s="451">
        <f t="shared" ref="J134:J140" si="64">I123*A134/10000</f>
        <v>663995.53636363626</v>
      </c>
      <c r="K134" s="306">
        <f t="shared" si="61"/>
        <v>301836.67927959008</v>
      </c>
      <c r="M134" s="297">
        <v>28</v>
      </c>
      <c r="N134" s="451">
        <f t="shared" ref="N134:N140" si="65">M123*A134/10000</f>
        <v>133087.70000000001</v>
      </c>
      <c r="O134" s="306">
        <f t="shared" si="62"/>
        <v>130021.95415120805</v>
      </c>
      <c r="Q134" s="463" t="s">
        <v>115</v>
      </c>
      <c r="R134" s="359">
        <v>289</v>
      </c>
      <c r="S134" s="464">
        <f t="shared" ref="S134:S135" si="66">R123*$A$25/10000</f>
        <v>42082.543508600014</v>
      </c>
      <c r="T134" s="362">
        <f>R134*F142/1000000</f>
        <v>42082.543508600022</v>
      </c>
    </row>
    <row r="135" spans="1:20" ht="22.15" hidden="1" customHeight="1" outlineLevel="1" thickBot="1" x14ac:dyDescent="0.3">
      <c r="A135" s="305">
        <f>E124*'Working Paper 3'!$D$15</f>
        <v>5845626.4700000016</v>
      </c>
      <c r="B135" s="305"/>
      <c r="C135" s="305"/>
      <c r="D135" s="291" t="s">
        <v>4</v>
      </c>
      <c r="E135" s="292">
        <v>401</v>
      </c>
      <c r="F135" s="305">
        <f t="shared" si="63"/>
        <v>5839134.9297400005</v>
      </c>
      <c r="I135" s="297">
        <v>159</v>
      </c>
      <c r="J135" s="451">
        <f t="shared" si="64"/>
        <v>83860.490909090862</v>
      </c>
      <c r="K135" s="306">
        <f t="shared" si="61"/>
        <v>92842.245382866007</v>
      </c>
      <c r="M135" s="297">
        <v>60</v>
      </c>
      <c r="N135" s="451">
        <f t="shared" si="65"/>
        <v>35211.755454545455</v>
      </c>
      <c r="O135" s="306">
        <f t="shared" si="62"/>
        <v>35034.809578440007</v>
      </c>
      <c r="Q135" s="465" t="s">
        <v>116</v>
      </c>
      <c r="R135" s="359">
        <v>469</v>
      </c>
      <c r="S135" s="464">
        <f t="shared" si="66"/>
        <v>68293.124240600024</v>
      </c>
      <c r="T135" s="362">
        <f>R135*F142/1000000</f>
        <v>68293.124240600024</v>
      </c>
    </row>
    <row r="136" spans="1:20" ht="22.15" hidden="1" customHeight="1" outlineLevel="1" x14ac:dyDescent="0.25">
      <c r="A136" s="305">
        <f>E125*'Working Paper 3'!$D$15</f>
        <v>32721693.030000001</v>
      </c>
      <c r="B136" s="305"/>
      <c r="C136" s="305"/>
      <c r="D136" s="291" t="s">
        <v>5</v>
      </c>
      <c r="E136" s="292">
        <v>2247</v>
      </c>
      <c r="F136" s="305">
        <f t="shared" si="63"/>
        <v>32719541.61378001</v>
      </c>
      <c r="I136" s="297">
        <v>65</v>
      </c>
      <c r="J136" s="451">
        <f t="shared" si="64"/>
        <v>468632.70909090899</v>
      </c>
      <c r="K136" s="306">
        <f t="shared" si="61"/>
        <v>212677.02048957007</v>
      </c>
      <c r="M136" s="297">
        <v>66</v>
      </c>
      <c r="N136" s="451">
        <f t="shared" si="65"/>
        <v>215727.4118181818</v>
      </c>
      <c r="O136" s="306">
        <f t="shared" si="62"/>
        <v>215948.97465094805</v>
      </c>
      <c r="Q136" s="452"/>
      <c r="R136" s="452"/>
      <c r="S136" s="452"/>
      <c r="T136" s="454"/>
    </row>
    <row r="137" spans="1:20" ht="22.15" hidden="1" customHeight="1" outlineLevel="1" x14ac:dyDescent="0.25">
      <c r="A137" s="305">
        <f>E126*'Working Paper 3'!$D$15</f>
        <v>37104582.900000006</v>
      </c>
      <c r="B137" s="305"/>
      <c r="C137" s="305"/>
      <c r="D137" s="291" t="s">
        <v>125</v>
      </c>
      <c r="E137" s="292">
        <v>2548</v>
      </c>
      <c r="F137" s="305">
        <f t="shared" si="63"/>
        <v>37102533.169520013</v>
      </c>
      <c r="I137" s="297">
        <v>159</v>
      </c>
      <c r="J137" s="451">
        <f t="shared" si="64"/>
        <v>551713.47272727301</v>
      </c>
      <c r="K137" s="306">
        <f t="shared" si="61"/>
        <v>589930.2773953682</v>
      </c>
      <c r="M137" s="297">
        <v>70</v>
      </c>
      <c r="N137" s="451">
        <f t="shared" si="65"/>
        <v>374267.73727272736</v>
      </c>
      <c r="O137" s="306">
        <f t="shared" si="62"/>
        <v>259717.73218664006</v>
      </c>
      <c r="Q137" s="452"/>
      <c r="R137" s="452"/>
      <c r="S137" s="452"/>
      <c r="T137" s="454"/>
    </row>
    <row r="138" spans="1:20" ht="22.15" hidden="1" customHeight="1" outlineLevel="1" x14ac:dyDescent="0.25">
      <c r="A138" s="305">
        <f>E127*'Working Paper 3'!$D$15</f>
        <v>8618063.129999999</v>
      </c>
      <c r="B138" s="305"/>
      <c r="C138" s="305"/>
      <c r="D138" s="291" t="s">
        <v>7</v>
      </c>
      <c r="E138" s="292">
        <v>592</v>
      </c>
      <c r="F138" s="305">
        <f t="shared" si="63"/>
        <v>8620368.7740800027</v>
      </c>
      <c r="I138" s="297">
        <v>65</v>
      </c>
      <c r="J138" s="451">
        <f t="shared" si="64"/>
        <v>123228.3454545454</v>
      </c>
      <c r="K138" s="306">
        <f t="shared" si="61"/>
        <v>56032.39703152002</v>
      </c>
      <c r="M138" s="297">
        <v>55</v>
      </c>
      <c r="N138" s="451">
        <f t="shared" si="65"/>
        <v>47321.164545454551</v>
      </c>
      <c r="O138" s="306">
        <f t="shared" si="62"/>
        <v>47412.028257440012</v>
      </c>
      <c r="Q138" s="452"/>
      <c r="R138" s="452"/>
      <c r="S138" s="452"/>
      <c r="T138" s="454"/>
    </row>
    <row r="139" spans="1:20" ht="22.15" hidden="1" customHeight="1" outlineLevel="1" x14ac:dyDescent="0.25">
      <c r="A139" s="305">
        <f>E128*'Working Paper 3'!$D$15</f>
        <v>3623457.5800000005</v>
      </c>
      <c r="B139" s="305"/>
      <c r="C139" s="305"/>
      <c r="D139" s="291" t="s">
        <v>126</v>
      </c>
      <c r="E139" s="292">
        <v>249</v>
      </c>
      <c r="F139" s="305">
        <f t="shared" si="63"/>
        <v>3625797.0012600007</v>
      </c>
      <c r="I139" s="297">
        <v>272</v>
      </c>
      <c r="J139" s="451">
        <f t="shared" si="64"/>
        <v>52705.709090909069</v>
      </c>
      <c r="K139" s="306">
        <f t="shared" si="61"/>
        <v>98621.67843427202</v>
      </c>
      <c r="M139" s="297">
        <v>260</v>
      </c>
      <c r="N139" s="451">
        <f t="shared" si="65"/>
        <v>106029.30727272728</v>
      </c>
      <c r="O139" s="306">
        <f t="shared" si="62"/>
        <v>94270.722032760023</v>
      </c>
      <c r="Q139" s="452"/>
      <c r="R139" s="452"/>
      <c r="S139" s="452"/>
      <c r="T139" s="454"/>
    </row>
    <row r="140" spans="1:20" ht="22.15" hidden="1" customHeight="1" outlineLevel="1" x14ac:dyDescent="0.25">
      <c r="A140" s="305">
        <f>E129*'Working Paper 3'!$D$15</f>
        <v>3491492.3000000003</v>
      </c>
      <c r="B140" s="305"/>
      <c r="C140" s="305"/>
      <c r="D140" s="291" t="s">
        <v>127</v>
      </c>
      <c r="E140" s="292">
        <v>240</v>
      </c>
      <c r="F140" s="305">
        <f t="shared" si="63"/>
        <v>3494744.0976000009</v>
      </c>
      <c r="I140" s="297">
        <v>272</v>
      </c>
      <c r="J140" s="451">
        <f t="shared" si="64"/>
        <v>48733.409090909074</v>
      </c>
      <c r="K140" s="306">
        <f t="shared" si="61"/>
        <v>95057.039454720027</v>
      </c>
      <c r="M140" s="297">
        <v>260</v>
      </c>
      <c r="N140" s="451">
        <f t="shared" si="65"/>
        <v>99615.93363636361</v>
      </c>
      <c r="O140" s="306">
        <f t="shared" si="62"/>
        <v>90863.346537600024</v>
      </c>
      <c r="Q140" s="452"/>
      <c r="R140" s="452"/>
      <c r="S140" s="452"/>
      <c r="T140" s="454"/>
    </row>
    <row r="141" spans="1:20" ht="22.15" hidden="1" customHeight="1" outlineLevel="1" x14ac:dyDescent="0.25">
      <c r="E141" s="291"/>
      <c r="I141" s="297"/>
      <c r="Q141" s="452"/>
      <c r="R141" s="452"/>
      <c r="S141" s="452"/>
      <c r="T141" s="452"/>
    </row>
    <row r="142" spans="1:20" ht="22.15" hidden="1" customHeight="1" outlineLevel="1" x14ac:dyDescent="0.25">
      <c r="A142" s="71">
        <f>SUM(A133:A141)</f>
        <v>145614337.40000004</v>
      </c>
      <c r="B142" s="71"/>
      <c r="C142" s="71"/>
      <c r="E142" s="308">
        <f>SUM(E133:E141)</f>
        <v>10000</v>
      </c>
      <c r="F142" s="71">
        <f>SUM(F133:F140)</f>
        <v>145614337.40000007</v>
      </c>
      <c r="I142" s="297">
        <f>K142/F142*10000</f>
        <v>108.87709999999998</v>
      </c>
      <c r="J142" s="149">
        <f>SUM(J133:J141)</f>
        <v>2113315.4545454546</v>
      </c>
      <c r="K142" s="149">
        <f>SUM(K133:K141)</f>
        <v>1585406.6774533545</v>
      </c>
      <c r="M142" s="297">
        <f>O142/F142*10000</f>
        <v>68.995999999999981</v>
      </c>
      <c r="N142" s="149">
        <f>SUM(N133:N141)</f>
        <v>1143195.4200000002</v>
      </c>
      <c r="O142" s="149">
        <f>SUM(O133:O141)</f>
        <v>1004680.6823250402</v>
      </c>
      <c r="P142" s="320"/>
      <c r="Q142" s="457"/>
      <c r="R142" s="457">
        <f>S142/A142*10000</f>
        <v>17.57</v>
      </c>
      <c r="S142" s="459">
        <f>SUM(S133:S141)</f>
        <v>255844.39081180008</v>
      </c>
      <c r="T142" s="459">
        <f>SUM(T133:T140)</f>
        <v>255844.39081180014</v>
      </c>
    </row>
    <row r="143" spans="1:20" ht="22.15" customHeight="1" collapsed="1" x14ac:dyDescent="0.25">
      <c r="O143" s="149">
        <f>K142-O142</f>
        <v>580725.99512831424</v>
      </c>
    </row>
    <row r="148" spans="1:40" ht="22.15" hidden="1" customHeight="1" outlineLevel="1" x14ac:dyDescent="0.25"/>
    <row r="149" spans="1:40" ht="22.15" hidden="1" customHeight="1" outlineLevel="1" x14ac:dyDescent="0.35">
      <c r="E149" s="468" t="s">
        <v>138</v>
      </c>
      <c r="G149" s="850" t="s">
        <v>139</v>
      </c>
      <c r="H149" s="849"/>
      <c r="I149" s="849"/>
      <c r="J149" s="849"/>
      <c r="K149" s="849"/>
      <c r="L149" s="849"/>
      <c r="M149" s="849"/>
      <c r="N149" s="849"/>
      <c r="O149" s="849"/>
    </row>
    <row r="150" spans="1:40" ht="22.15" hidden="1" customHeight="1" outlineLevel="1" thickBot="1" x14ac:dyDescent="0.3">
      <c r="A150" s="291"/>
      <c r="B150" s="291"/>
      <c r="C150" s="291"/>
      <c r="D150" s="291"/>
      <c r="E150" s="291"/>
      <c r="F150" s="291"/>
      <c r="G150" s="291"/>
      <c r="H150" s="317"/>
      <c r="I150" s="291"/>
      <c r="J150" s="291"/>
      <c r="K150" s="291"/>
      <c r="L150" s="317"/>
      <c r="M150" s="291"/>
      <c r="N150" s="291"/>
      <c r="O150" s="291"/>
      <c r="P150" s="317"/>
      <c r="Q150" s="317"/>
      <c r="R150" s="317"/>
      <c r="S150" s="317"/>
      <c r="T150" s="317"/>
    </row>
    <row r="151" spans="1:40" ht="22.15" hidden="1" customHeight="1" outlineLevel="1" thickBot="1" x14ac:dyDescent="0.3">
      <c r="A151" s="291"/>
      <c r="B151" s="291"/>
      <c r="C151" s="291"/>
      <c r="D151" s="291"/>
      <c r="E151" s="739" t="s">
        <v>101</v>
      </c>
      <c r="F151" s="745"/>
      <c r="G151" s="746"/>
      <c r="H151" s="323"/>
      <c r="I151" s="741" t="s">
        <v>102</v>
      </c>
      <c r="J151" s="747"/>
      <c r="K151" s="748"/>
      <c r="L151" s="323"/>
      <c r="M151" s="743" t="s">
        <v>103</v>
      </c>
      <c r="N151" s="749"/>
      <c r="O151" s="750"/>
      <c r="P151" s="323"/>
      <c r="Q151" s="323"/>
      <c r="R151" s="757" t="s">
        <v>104</v>
      </c>
      <c r="S151" s="758"/>
      <c r="T151" s="759"/>
      <c r="V151" s="321"/>
      <c r="W151" s="820" t="s">
        <v>105</v>
      </c>
      <c r="X151" s="821"/>
      <c r="Y151" s="822"/>
      <c r="Z151" s="787" t="s">
        <v>51</v>
      </c>
      <c r="AA151" s="787"/>
      <c r="AB151" s="824"/>
      <c r="AC151" s="786" t="s">
        <v>133</v>
      </c>
      <c r="AD151" s="787"/>
      <c r="AE151" s="824"/>
      <c r="AF151" s="786" t="s">
        <v>107</v>
      </c>
      <c r="AG151" s="787"/>
      <c r="AH151" s="825"/>
      <c r="AI151" s="805" t="s">
        <v>108</v>
      </c>
      <c r="AJ151" s="805"/>
      <c r="AK151" s="806"/>
      <c r="AL151" s="782" t="s">
        <v>109</v>
      </c>
      <c r="AM151" s="831"/>
      <c r="AN151" s="832"/>
    </row>
    <row r="152" spans="1:40" ht="22.15" hidden="1" customHeight="1" outlineLevel="1" thickBot="1" x14ac:dyDescent="0.3">
      <c r="A152" s="291"/>
      <c r="B152" s="291"/>
      <c r="C152" s="291"/>
      <c r="D152" s="291"/>
      <c r="E152" s="325" t="s">
        <v>110</v>
      </c>
      <c r="F152" s="739" t="s">
        <v>111</v>
      </c>
      <c r="G152" s="740"/>
      <c r="H152" s="322"/>
      <c r="I152" s="302" t="s">
        <v>110</v>
      </c>
      <c r="J152" s="741" t="s">
        <v>112</v>
      </c>
      <c r="K152" s="742"/>
      <c r="L152" s="322"/>
      <c r="M152" s="302" t="s">
        <v>110</v>
      </c>
      <c r="N152" s="743" t="s">
        <v>112</v>
      </c>
      <c r="O152" s="744"/>
      <c r="P152" s="322"/>
      <c r="Q152" s="322"/>
      <c r="R152" s="328" t="s">
        <v>110</v>
      </c>
      <c r="S152" s="760" t="s">
        <v>112</v>
      </c>
      <c r="T152" s="761"/>
      <c r="V152" s="322"/>
      <c r="W152" s="823"/>
      <c r="X152" s="790"/>
      <c r="Y152" s="791"/>
      <c r="Z152" s="790"/>
      <c r="AA152" s="790"/>
      <c r="AB152" s="790"/>
      <c r="AC152" s="789"/>
      <c r="AD152" s="790"/>
      <c r="AE152" s="790"/>
      <c r="AF152" s="789"/>
      <c r="AG152" s="790"/>
      <c r="AH152" s="826"/>
      <c r="AI152" s="807"/>
      <c r="AJ152" s="807"/>
      <c r="AK152" s="807"/>
      <c r="AL152" s="833"/>
      <c r="AM152" s="834"/>
      <c r="AN152" s="834"/>
    </row>
    <row r="153" spans="1:40" ht="60.95" hidden="1" customHeight="1" outlineLevel="1" thickBot="1" x14ac:dyDescent="0.3">
      <c r="A153" s="291"/>
      <c r="B153" s="291"/>
      <c r="C153" s="291"/>
      <c r="D153" s="301" t="s">
        <v>124</v>
      </c>
      <c r="E153" s="309">
        <f>'Working Paper 3'!$C$6</f>
        <v>5.3385868718721363E-2</v>
      </c>
      <c r="F153" s="295">
        <f t="shared" ref="F153:F160" si="67">E164/10000</f>
        <v>0.05</v>
      </c>
      <c r="G153" s="293"/>
      <c r="H153" s="324"/>
      <c r="I153" s="298">
        <f>'Working Paper 3'!$E$6</f>
        <v>154.93914051185246</v>
      </c>
      <c r="J153" s="299">
        <f>I164</f>
        <v>178</v>
      </c>
      <c r="K153" s="294"/>
      <c r="L153" s="317"/>
      <c r="M153" s="298">
        <f>'Working Paper 3'!$G$6</f>
        <v>169.71789116032431</v>
      </c>
      <c r="N153" s="300">
        <f>M164</f>
        <v>170</v>
      </c>
      <c r="O153" s="294"/>
      <c r="P153" s="317"/>
      <c r="Q153" s="329" t="s">
        <v>113</v>
      </c>
      <c r="R153" s="334">
        <v>9.99</v>
      </c>
      <c r="S153" s="352">
        <f>R164/100</f>
        <v>9.99</v>
      </c>
      <c r="T153" s="330"/>
      <c r="V153" s="814" t="s">
        <v>110</v>
      </c>
      <c r="W153" s="844">
        <f>'Working Paper 3'!$F$15</f>
        <v>2113315.4545454546</v>
      </c>
      <c r="X153" s="842"/>
      <c r="Y153" s="845"/>
      <c r="Z153" s="846">
        <f>'Working Paper 3'!$H$15</f>
        <v>1143195.4200000002</v>
      </c>
      <c r="AA153" s="842"/>
      <c r="AB153" s="845"/>
      <c r="AC153" s="846">
        <f>'Working Paper 3'!$J$15</f>
        <v>970120.0345454542</v>
      </c>
      <c r="AD153" s="842"/>
      <c r="AE153" s="845"/>
      <c r="AF153" s="847">
        <f>'Working Paper 3'!$J$15/'Working Paper 3'!$F$15</f>
        <v>0.45905121852909264</v>
      </c>
      <c r="AG153" s="842"/>
      <c r="AH153" s="843"/>
      <c r="AI153" s="844">
        <f>S173</f>
        <v>255844.39081180008</v>
      </c>
      <c r="AJ153" s="842"/>
      <c r="AK153" s="842"/>
      <c r="AL153" s="841">
        <f>AC153-AI153</f>
        <v>714275.64373365417</v>
      </c>
      <c r="AM153" s="842"/>
      <c r="AN153" s="843"/>
    </row>
    <row r="154" spans="1:40" ht="60.95" hidden="1" customHeight="1" outlineLevel="1" thickBot="1" x14ac:dyDescent="0.3">
      <c r="A154" s="291"/>
      <c r="B154" s="291"/>
      <c r="C154" s="291"/>
      <c r="D154" s="301" t="s">
        <v>3</v>
      </c>
      <c r="E154" s="309">
        <f>'Working Paper 3'!$C$7</f>
        <v>0.31889493108389483</v>
      </c>
      <c r="F154" s="295">
        <f t="shared" si="67"/>
        <v>0.4</v>
      </c>
      <c r="G154" s="294"/>
      <c r="H154" s="317"/>
      <c r="I154" s="298">
        <f>'Working Paper 3'!$E$7</f>
        <v>142.99254815956868</v>
      </c>
      <c r="J154" s="299">
        <f t="shared" ref="J154:J160" si="68">I165</f>
        <v>65</v>
      </c>
      <c r="K154" s="294"/>
      <c r="L154" s="317"/>
      <c r="M154" s="298">
        <f>'Working Paper 3'!$G$7</f>
        <v>28.660658557912612</v>
      </c>
      <c r="N154" s="300">
        <f t="shared" ref="N154:N160" si="69">M165</f>
        <v>28</v>
      </c>
      <c r="O154" s="294"/>
      <c r="P154" s="317"/>
      <c r="Q154" s="329" t="s">
        <v>115</v>
      </c>
      <c r="R154" s="334">
        <v>2.89</v>
      </c>
      <c r="S154" s="352">
        <f>R165/100</f>
        <v>2.89</v>
      </c>
      <c r="T154" s="330"/>
      <c r="V154" s="815"/>
      <c r="W154" s="808">
        <f>I162</f>
        <v>145.13100099066577</v>
      </c>
      <c r="X154" s="809"/>
      <c r="Y154" s="810"/>
      <c r="Z154" s="792">
        <f>M162</f>
        <v>78.508438139553675</v>
      </c>
      <c r="AA154" s="809"/>
      <c r="AB154" s="810"/>
      <c r="AC154" s="792">
        <f>W154-Z154</f>
        <v>66.622562851112093</v>
      </c>
      <c r="AD154" s="793"/>
      <c r="AE154" s="794"/>
      <c r="AF154" s="776"/>
      <c r="AG154" s="777"/>
      <c r="AH154" s="778"/>
      <c r="AI154" s="830">
        <f>R156</f>
        <v>17.57</v>
      </c>
      <c r="AJ154" s="809"/>
      <c r="AK154" s="810"/>
      <c r="AL154" s="792">
        <f>AC154-AI154</f>
        <v>49.052562851112093</v>
      </c>
      <c r="AM154" s="809"/>
      <c r="AN154" s="836"/>
    </row>
    <row r="155" spans="1:40" ht="60.95" hidden="1" customHeight="1" outlineLevel="1" thickBot="1" x14ac:dyDescent="0.3">
      <c r="A155" s="291"/>
      <c r="B155" s="291"/>
      <c r="C155" s="291"/>
      <c r="D155" s="301" t="s">
        <v>4</v>
      </c>
      <c r="E155" s="309">
        <f>'Working Paper 3'!$C$8</f>
        <v>4.0144580364653022E-2</v>
      </c>
      <c r="F155" s="295">
        <f t="shared" si="67"/>
        <v>0.04</v>
      </c>
      <c r="G155" s="326"/>
      <c r="H155" s="317"/>
      <c r="I155" s="298">
        <f>'Working Paper 3'!$E$8</f>
        <v>143.45851781578313</v>
      </c>
      <c r="J155" s="299">
        <f t="shared" si="68"/>
        <v>159</v>
      </c>
      <c r="K155" s="294"/>
      <c r="L155" s="317"/>
      <c r="M155" s="298">
        <f>'Working Paper 3'!$G$8</f>
        <v>60.236068170372583</v>
      </c>
      <c r="N155" s="300">
        <f t="shared" si="69"/>
        <v>60</v>
      </c>
      <c r="O155" s="294"/>
      <c r="P155" s="317"/>
      <c r="Q155" s="331" t="s">
        <v>116</v>
      </c>
      <c r="R155" s="334">
        <v>4.6900000000000004</v>
      </c>
      <c r="S155" s="352">
        <f>R166/100</f>
        <v>4.6900000000000004</v>
      </c>
      <c r="T155" s="330"/>
      <c r="V155" s="812" t="s">
        <v>134</v>
      </c>
      <c r="W155" s="779">
        <f>K173*S159</f>
        <v>1127520.9373556802</v>
      </c>
      <c r="X155" s="752"/>
      <c r="Y155" s="753"/>
      <c r="Z155" s="766">
        <f>O173*S159</f>
        <v>737973.46194320021</v>
      </c>
      <c r="AA155" s="752"/>
      <c r="AB155" s="753"/>
      <c r="AC155" s="766">
        <f>W155-Z155</f>
        <v>389547.47541247995</v>
      </c>
      <c r="AD155" s="752"/>
      <c r="AE155" s="753"/>
      <c r="AF155" s="811">
        <f>AC155/K173</f>
        <v>0.27639218927575154</v>
      </c>
      <c r="AG155" s="752"/>
      <c r="AH155" s="828"/>
      <c r="AI155" s="779">
        <f>S173*S159</f>
        <v>204675.51264944009</v>
      </c>
      <c r="AJ155" s="752"/>
      <c r="AK155" s="752"/>
      <c r="AL155" s="840">
        <f>AC155-AI155</f>
        <v>184871.96276303986</v>
      </c>
      <c r="AM155" s="752"/>
      <c r="AN155" s="828"/>
    </row>
    <row r="156" spans="1:40" ht="60.95" hidden="1" customHeight="1" outlineLevel="1" thickBot="1" x14ac:dyDescent="0.3">
      <c r="A156" s="291"/>
      <c r="B156" s="291"/>
      <c r="C156" s="291"/>
      <c r="D156" s="301" t="s">
        <v>5</v>
      </c>
      <c r="E156" s="309">
        <f>'Working Paper 3'!$C$9</f>
        <v>0.22471477475541493</v>
      </c>
      <c r="F156" s="295">
        <f t="shared" si="67"/>
        <v>0.25</v>
      </c>
      <c r="G156" s="294"/>
      <c r="H156" s="317"/>
      <c r="I156" s="298">
        <f>'Working Paper 3'!$E$9</f>
        <v>143.21774507854948</v>
      </c>
      <c r="J156" s="299">
        <f t="shared" si="68"/>
        <v>65</v>
      </c>
      <c r="K156" s="294"/>
      <c r="L156" s="317"/>
      <c r="M156" s="298">
        <f>'Working Paper 3'!$G$9</f>
        <v>65.927949272184037</v>
      </c>
      <c r="N156" s="300">
        <f t="shared" si="69"/>
        <v>66</v>
      </c>
      <c r="O156" s="294"/>
      <c r="P156" s="317"/>
      <c r="Q156" s="340"/>
      <c r="R156" s="332">
        <f>S173/A173*10000</f>
        <v>17.57</v>
      </c>
      <c r="S156" s="339">
        <f>T173/A173*10000</f>
        <v>17.57</v>
      </c>
      <c r="T156" s="336"/>
      <c r="V156" s="813"/>
      <c r="W156" s="780">
        <f>J162*$S$68</f>
        <v>96.79</v>
      </c>
      <c r="X156" s="768"/>
      <c r="Y156" s="769"/>
      <c r="Z156" s="767">
        <f>N162*S159</f>
        <v>50.68</v>
      </c>
      <c r="AA156" s="768"/>
      <c r="AB156" s="769"/>
      <c r="AC156" s="767">
        <f>W156-Z156</f>
        <v>46.110000000000007</v>
      </c>
      <c r="AD156" s="768"/>
      <c r="AE156" s="768"/>
      <c r="AF156" s="816"/>
      <c r="AG156" s="817"/>
      <c r="AH156" s="818"/>
      <c r="AI156" s="819">
        <f>S156*S159</f>
        <v>14.056000000000001</v>
      </c>
      <c r="AJ156" s="768"/>
      <c r="AK156" s="768"/>
      <c r="AL156" s="767">
        <f>AC156-AI156</f>
        <v>32.054000000000002</v>
      </c>
      <c r="AM156" s="768"/>
      <c r="AN156" s="837"/>
    </row>
    <row r="157" spans="1:40" ht="60.95" hidden="1" customHeight="1" outlineLevel="1" thickBot="1" x14ac:dyDescent="0.3">
      <c r="A157" s="291"/>
      <c r="B157" s="291"/>
      <c r="C157" s="291"/>
      <c r="D157" s="301" t="s">
        <v>125</v>
      </c>
      <c r="E157" s="309">
        <f>'Working Paper 3'!$C$10</f>
        <v>0.25481407643310816</v>
      </c>
      <c r="F157" s="295">
        <f t="shared" si="67"/>
        <v>0.15</v>
      </c>
      <c r="G157" s="294"/>
      <c r="H157" s="317"/>
      <c r="I157" s="298">
        <f>'Working Paper 3'!$E$10</f>
        <v>148.69146331982427</v>
      </c>
      <c r="J157" s="299">
        <f t="shared" si="68"/>
        <v>159</v>
      </c>
      <c r="K157" s="294"/>
      <c r="L157" s="317"/>
      <c r="M157" s="298">
        <f>'Working Paper 3'!$G$10</f>
        <v>100.86833162399658</v>
      </c>
      <c r="N157" s="300">
        <f t="shared" si="69"/>
        <v>70</v>
      </c>
      <c r="O157" s="294"/>
      <c r="P157" s="317"/>
      <c r="Q157" s="340"/>
      <c r="T157" s="336"/>
      <c r="V157" s="428" t="s">
        <v>119</v>
      </c>
      <c r="W157" s="751">
        <f t="shared" ref="W157:W158" si="70">W153-W155</f>
        <v>985794.51718977443</v>
      </c>
      <c r="X157" s="752"/>
      <c r="Y157" s="753"/>
      <c r="Z157" s="754">
        <f t="shared" ref="Z157:Z158" si="71">Z153-Z155</f>
        <v>405221.95805679995</v>
      </c>
      <c r="AA157" s="755"/>
      <c r="AB157" s="756"/>
      <c r="AC157" s="775">
        <f t="shared" ref="AC157:AC158" si="72">AC153-AC155</f>
        <v>580572.55913297425</v>
      </c>
      <c r="AD157" s="752"/>
      <c r="AE157" s="752"/>
      <c r="AF157" s="781"/>
      <c r="AG157" s="752"/>
      <c r="AH157" s="753"/>
      <c r="AI157" s="774">
        <f t="shared" ref="AI157:AI158" si="73">AI153-AI155</f>
        <v>51168.878162359993</v>
      </c>
      <c r="AJ157" s="752"/>
      <c r="AK157" s="753"/>
      <c r="AL157" s="827">
        <f t="shared" ref="AL157:AL158" si="74">AL153-AL155</f>
        <v>529403.68097061431</v>
      </c>
      <c r="AM157" s="752"/>
      <c r="AN157" s="828"/>
    </row>
    <row r="158" spans="1:40" ht="60.95" hidden="1" customHeight="1" outlineLevel="1" thickBot="1" x14ac:dyDescent="0.3">
      <c r="A158" s="291"/>
      <c r="B158" s="291"/>
      <c r="C158" s="291"/>
      <c r="D158" s="301" t="s">
        <v>7</v>
      </c>
      <c r="E158" s="309">
        <f>'Working Paper 3'!$C$11</f>
        <v>5.9184166091600793E-2</v>
      </c>
      <c r="F158" s="295">
        <f t="shared" si="67"/>
        <v>7.0000000000000007E-2</v>
      </c>
      <c r="G158" s="294"/>
      <c r="H158" s="317"/>
      <c r="I158" s="298">
        <f>'Working Paper 3'!$E$11</f>
        <v>142.98844600659757</v>
      </c>
      <c r="J158" s="299">
        <f t="shared" si="68"/>
        <v>65</v>
      </c>
      <c r="K158" s="294"/>
      <c r="L158" s="317"/>
      <c r="M158" s="298">
        <f>'Working Paper 3'!$G$11</f>
        <v>54.90928046317822</v>
      </c>
      <c r="N158" s="300">
        <f t="shared" si="69"/>
        <v>55</v>
      </c>
      <c r="O158" s="294"/>
      <c r="P158" s="317"/>
      <c r="Q158" s="340"/>
      <c r="R158" s="719" t="s">
        <v>118</v>
      </c>
      <c r="S158" s="720"/>
      <c r="T158" s="721"/>
      <c r="V158" s="429" t="s">
        <v>120</v>
      </c>
      <c r="W158" s="735">
        <f t="shared" si="70"/>
        <v>48.341000990665762</v>
      </c>
      <c r="X158" s="736"/>
      <c r="Y158" s="737"/>
      <c r="Z158" s="738">
        <f t="shared" si="71"/>
        <v>27.828438139553676</v>
      </c>
      <c r="AA158" s="736"/>
      <c r="AB158" s="737"/>
      <c r="AC158" s="738">
        <f t="shared" si="72"/>
        <v>20.512562851112087</v>
      </c>
      <c r="AD158" s="736"/>
      <c r="AE158" s="736"/>
      <c r="AF158" s="729"/>
      <c r="AG158" s="730"/>
      <c r="AH158" s="731"/>
      <c r="AI158" s="732">
        <f t="shared" si="73"/>
        <v>3.5139999999999993</v>
      </c>
      <c r="AJ158" s="733"/>
      <c r="AK158" s="734"/>
      <c r="AL158" s="838">
        <f t="shared" si="74"/>
        <v>16.998562851112091</v>
      </c>
      <c r="AM158" s="733"/>
      <c r="AN158" s="839"/>
    </row>
    <row r="159" spans="1:40" ht="60.95" hidden="1" customHeight="1" outlineLevel="1" thickBot="1" x14ac:dyDescent="0.3">
      <c r="A159" s="291"/>
      <c r="B159" s="291"/>
      <c r="C159" s="291"/>
      <c r="D159" s="301" t="s">
        <v>126</v>
      </c>
      <c r="E159" s="309">
        <f>'Working Paper 3'!$C$12</f>
        <v>2.4883934128316128E-2</v>
      </c>
      <c r="F159" s="295">
        <f t="shared" si="67"/>
        <v>0.02</v>
      </c>
      <c r="G159" s="294"/>
      <c r="H159" s="317"/>
      <c r="I159" s="298">
        <f>'Working Paper 3'!$E$12</f>
        <v>145.45695079148425</v>
      </c>
      <c r="J159" s="299">
        <f t="shared" si="68"/>
        <v>272</v>
      </c>
      <c r="K159" s="294"/>
      <c r="L159" s="317"/>
      <c r="M159" s="298">
        <f>'Working Paper 3'!$G$12</f>
        <v>292.619148787516</v>
      </c>
      <c r="N159" s="300">
        <f t="shared" si="69"/>
        <v>260</v>
      </c>
      <c r="O159" s="294"/>
      <c r="P159" s="317"/>
      <c r="Q159" s="340"/>
      <c r="R159" s="384">
        <v>1</v>
      </c>
      <c r="S159" s="384">
        <f>R162/100</f>
        <v>0.8</v>
      </c>
      <c r="T159" s="383"/>
    </row>
    <row r="160" spans="1:40" ht="60.95" hidden="1" customHeight="1" outlineLevel="1" thickBot="1" x14ac:dyDescent="0.3">
      <c r="A160" s="291"/>
      <c r="B160" s="291"/>
      <c r="C160" s="291"/>
      <c r="D160" s="301" t="s">
        <v>127</v>
      </c>
      <c r="E160" s="309">
        <f>'Working Paper 3'!$C$13</f>
        <v>2.3977668424290749E-2</v>
      </c>
      <c r="F160" s="295">
        <f t="shared" si="67"/>
        <v>0.02</v>
      </c>
      <c r="G160" s="294"/>
      <c r="H160" s="317"/>
      <c r="I160" s="298">
        <f>'Working Paper 3'!$E$13</f>
        <v>139.5775929132339</v>
      </c>
      <c r="J160" s="299">
        <f t="shared" si="68"/>
        <v>272</v>
      </c>
      <c r="K160" s="294"/>
      <c r="L160" s="317"/>
      <c r="M160" s="298">
        <f>'Working Paper 3'!$G$13</f>
        <v>285.31047780447233</v>
      </c>
      <c r="N160" s="300">
        <f t="shared" si="69"/>
        <v>260</v>
      </c>
      <c r="O160" s="294"/>
      <c r="P160" s="317"/>
      <c r="Q160" s="341"/>
      <c r="R160" s="337"/>
      <c r="S160" s="318"/>
      <c r="T160" s="338"/>
    </row>
    <row r="161" spans="1:20" ht="22.15" hidden="1" customHeight="1" outlineLevel="1" thickBot="1" x14ac:dyDescent="0.3">
      <c r="A161" s="291"/>
      <c r="B161" s="291"/>
      <c r="C161" s="291"/>
      <c r="D161" s="291"/>
      <c r="E161" s="291"/>
      <c r="F161" s="291"/>
      <c r="G161" s="291"/>
      <c r="H161" s="317"/>
      <c r="I161" s="291"/>
      <c r="J161" s="291"/>
      <c r="K161" s="291"/>
      <c r="L161" s="317"/>
      <c r="M161" s="291"/>
      <c r="N161" s="291"/>
      <c r="O161" s="291"/>
      <c r="P161" s="317"/>
      <c r="Q161" s="317"/>
      <c r="R161" s="317"/>
      <c r="S161" s="317"/>
      <c r="T161" s="317"/>
    </row>
    <row r="162" spans="1:20" ht="22.15" hidden="1" customHeight="1" outlineLevel="1" thickBot="1" x14ac:dyDescent="0.3">
      <c r="A162" s="291"/>
      <c r="B162" s="291"/>
      <c r="C162" s="291"/>
      <c r="D162" s="291"/>
      <c r="E162" s="315">
        <f>SUM(E153:E161)</f>
        <v>1</v>
      </c>
      <c r="F162" s="316">
        <f>SUM(F153:F161)</f>
        <v>1</v>
      </c>
      <c r="G162" s="291"/>
      <c r="H162" s="317"/>
      <c r="I162" s="313">
        <f>J173/A173*10000</f>
        <v>145.13100099066577</v>
      </c>
      <c r="J162" s="314">
        <f>I173</f>
        <v>96.79</v>
      </c>
      <c r="K162" s="291"/>
      <c r="L162" s="317"/>
      <c r="M162" s="311">
        <f>N173/A173*10000</f>
        <v>78.508438139553675</v>
      </c>
      <c r="N162" s="312">
        <f>M173</f>
        <v>63.349999999999994</v>
      </c>
      <c r="O162" s="291"/>
      <c r="P162" s="317"/>
      <c r="Q162" s="291"/>
      <c r="R162" s="414">
        <v>80</v>
      </c>
      <c r="S162" s="415">
        <f>S159*1</f>
        <v>0.8</v>
      </c>
      <c r="T162" s="414"/>
    </row>
    <row r="163" spans="1:20" ht="22.15" hidden="1" customHeight="1" outlineLevel="1" thickBot="1" x14ac:dyDescent="0.3">
      <c r="A163" s="291"/>
      <c r="B163" s="291"/>
      <c r="C163" s="291"/>
      <c r="D163" s="291"/>
      <c r="E163" s="291"/>
      <c r="F163" s="291"/>
      <c r="G163" s="291"/>
      <c r="H163" s="317"/>
      <c r="I163" s="291"/>
      <c r="J163" s="291"/>
      <c r="K163" s="291"/>
      <c r="L163" s="317"/>
      <c r="M163" s="291"/>
      <c r="N163" s="291"/>
      <c r="O163" s="291"/>
      <c r="P163" s="317"/>
      <c r="Q163" s="317"/>
      <c r="R163" s="317"/>
      <c r="S163" s="317"/>
      <c r="T163" s="317"/>
    </row>
    <row r="164" spans="1:20" ht="22.15" hidden="1" customHeight="1" outlineLevel="1" thickBot="1" x14ac:dyDescent="0.3">
      <c r="A164" s="305">
        <f>E153*'Working Paper 3'!$D$15</f>
        <v>7773747.9000000004</v>
      </c>
      <c r="B164" s="305"/>
      <c r="C164" s="305"/>
      <c r="D164" s="291" t="s">
        <v>124</v>
      </c>
      <c r="E164" s="292">
        <v>500</v>
      </c>
      <c r="F164" s="305">
        <f>F153*$A$25</f>
        <v>7280716.870000002</v>
      </c>
      <c r="G164" s="291"/>
      <c r="H164" s="317"/>
      <c r="I164" s="296">
        <v>178</v>
      </c>
      <c r="J164" s="451">
        <f>I153*A164/10000</f>
        <v>120445.7818181818</v>
      </c>
      <c r="K164" s="306">
        <f t="shared" ref="K164:K171" si="75">J153*F164/10000</f>
        <v>129596.76028600003</v>
      </c>
      <c r="L164" s="317"/>
      <c r="M164" s="296">
        <v>170</v>
      </c>
      <c r="N164" s="451">
        <f>M153*A164/10000</f>
        <v>131934.40999999997</v>
      </c>
      <c r="O164" s="306">
        <f t="shared" ref="O164:O171" si="76">N153*F164/10000</f>
        <v>123772.18679000004</v>
      </c>
      <c r="P164" s="317"/>
      <c r="Q164" s="463" t="s">
        <v>113</v>
      </c>
      <c r="R164" s="359">
        <v>999</v>
      </c>
      <c r="S164" s="464">
        <f>R153*$A$25/10000</f>
        <v>145468.72306260004</v>
      </c>
      <c r="T164" s="362">
        <f>R164*F173/1000000</f>
        <v>145468.72306260004</v>
      </c>
    </row>
    <row r="165" spans="1:20" ht="22.15" hidden="1" customHeight="1" outlineLevel="1" thickBot="1" x14ac:dyDescent="0.3">
      <c r="A165" s="305">
        <f>E154*'Working Paper 3'!$D$15</f>
        <v>46435674.090000018</v>
      </c>
      <c r="B165" s="305"/>
      <c r="C165" s="305"/>
      <c r="D165" s="291" t="s">
        <v>3</v>
      </c>
      <c r="E165" s="292">
        <v>4000</v>
      </c>
      <c r="F165" s="305">
        <f t="shared" ref="F165:F171" si="77">F154*$A$25</f>
        <v>58245734.960000016</v>
      </c>
      <c r="I165" s="297">
        <v>65</v>
      </c>
      <c r="J165" s="451">
        <f t="shared" ref="J165:J171" si="78">I154*A165/10000</f>
        <v>663995.53636363626</v>
      </c>
      <c r="K165" s="306">
        <f t="shared" si="75"/>
        <v>378597.27724000008</v>
      </c>
      <c r="M165" s="297">
        <v>28</v>
      </c>
      <c r="N165" s="451">
        <f t="shared" ref="N165:N171" si="79">M154*A165/10000</f>
        <v>133087.70000000001</v>
      </c>
      <c r="O165" s="306">
        <f t="shared" si="76"/>
        <v>163088.05788800004</v>
      </c>
      <c r="Q165" s="463" t="s">
        <v>115</v>
      </c>
      <c r="R165" s="359">
        <v>289</v>
      </c>
      <c r="S165" s="464">
        <f t="shared" ref="S165:S166" si="80">R154*$A$25/10000</f>
        <v>42082.543508600014</v>
      </c>
      <c r="T165" s="362">
        <f>R165*F173/1000000</f>
        <v>42082.543508600014</v>
      </c>
    </row>
    <row r="166" spans="1:20" ht="22.15" hidden="1" customHeight="1" outlineLevel="1" thickBot="1" x14ac:dyDescent="0.3">
      <c r="A166" s="305">
        <f>E155*'Working Paper 3'!$D$15</f>
        <v>5845626.4700000016</v>
      </c>
      <c r="B166" s="305"/>
      <c r="C166" s="305"/>
      <c r="D166" s="291" t="s">
        <v>4</v>
      </c>
      <c r="E166" s="292">
        <v>400</v>
      </c>
      <c r="F166" s="305">
        <f t="shared" si="77"/>
        <v>5824573.4960000012</v>
      </c>
      <c r="I166" s="297">
        <v>159</v>
      </c>
      <c r="J166" s="451">
        <f t="shared" si="78"/>
        <v>83860.490909090862</v>
      </c>
      <c r="K166" s="306">
        <f t="shared" si="75"/>
        <v>92610.71858640002</v>
      </c>
      <c r="M166" s="297">
        <v>60</v>
      </c>
      <c r="N166" s="451">
        <f t="shared" si="79"/>
        <v>35211.755454545455</v>
      </c>
      <c r="O166" s="306">
        <f t="shared" si="76"/>
        <v>34947.440976000005</v>
      </c>
      <c r="Q166" s="465" t="s">
        <v>116</v>
      </c>
      <c r="R166" s="359">
        <v>469</v>
      </c>
      <c r="S166" s="464">
        <f t="shared" si="80"/>
        <v>68293.124240600024</v>
      </c>
      <c r="T166" s="362">
        <f>R166*F173/1000000</f>
        <v>68293.124240600009</v>
      </c>
    </row>
    <row r="167" spans="1:20" ht="22.15" hidden="1" customHeight="1" outlineLevel="1" x14ac:dyDescent="0.25">
      <c r="A167" s="305">
        <f>E156*'Working Paper 3'!$D$15</f>
        <v>32721693.030000001</v>
      </c>
      <c r="B167" s="305"/>
      <c r="C167" s="305"/>
      <c r="D167" s="291" t="s">
        <v>5</v>
      </c>
      <c r="E167" s="292">
        <v>2500</v>
      </c>
      <c r="F167" s="305">
        <f t="shared" si="77"/>
        <v>36403584.350000009</v>
      </c>
      <c r="I167" s="297">
        <v>65</v>
      </c>
      <c r="J167" s="451">
        <f t="shared" si="78"/>
        <v>468632.70909090899</v>
      </c>
      <c r="K167" s="306">
        <f t="shared" si="75"/>
        <v>236623.29827500004</v>
      </c>
      <c r="M167" s="297">
        <v>66</v>
      </c>
      <c r="N167" s="451">
        <f t="shared" si="79"/>
        <v>215727.4118181818</v>
      </c>
      <c r="O167" s="306">
        <f t="shared" si="76"/>
        <v>240263.65671000004</v>
      </c>
      <c r="Q167" s="452"/>
      <c r="R167" s="452"/>
      <c r="S167" s="452"/>
      <c r="T167" s="454"/>
    </row>
    <row r="168" spans="1:20" ht="22.15" hidden="1" customHeight="1" outlineLevel="1" x14ac:dyDescent="0.25">
      <c r="A168" s="305">
        <f>E157*'Working Paper 3'!$D$15</f>
        <v>37104582.900000006</v>
      </c>
      <c r="B168" s="305"/>
      <c r="C168" s="305"/>
      <c r="D168" s="291" t="s">
        <v>125</v>
      </c>
      <c r="E168" s="292">
        <v>1500</v>
      </c>
      <c r="F168" s="305">
        <f t="shared" si="77"/>
        <v>21842150.610000003</v>
      </c>
      <c r="I168" s="297">
        <v>159</v>
      </c>
      <c r="J168" s="451">
        <f t="shared" si="78"/>
        <v>551713.47272727301</v>
      </c>
      <c r="K168" s="306">
        <f t="shared" si="75"/>
        <v>347290.1946990001</v>
      </c>
      <c r="M168" s="297">
        <v>70</v>
      </c>
      <c r="N168" s="451">
        <f t="shared" si="79"/>
        <v>374267.73727272736</v>
      </c>
      <c r="O168" s="306">
        <f t="shared" si="76"/>
        <v>152895.05427000002</v>
      </c>
      <c r="Q168" s="452"/>
      <c r="R168" s="452"/>
      <c r="S168" s="452"/>
      <c r="T168" s="454"/>
    </row>
    <row r="169" spans="1:20" ht="22.15" hidden="1" customHeight="1" outlineLevel="1" x14ac:dyDescent="0.25">
      <c r="A169" s="305">
        <f>E158*'Working Paper 3'!$D$15</f>
        <v>8618063.129999999</v>
      </c>
      <c r="B169" s="305"/>
      <c r="C169" s="305"/>
      <c r="D169" s="291" t="s">
        <v>7</v>
      </c>
      <c r="E169" s="292">
        <v>700</v>
      </c>
      <c r="F169" s="305">
        <f t="shared" si="77"/>
        <v>10193003.618000003</v>
      </c>
      <c r="I169" s="297">
        <v>65</v>
      </c>
      <c r="J169" s="451">
        <f t="shared" si="78"/>
        <v>123228.3454545454</v>
      </c>
      <c r="K169" s="306">
        <f t="shared" si="75"/>
        <v>66254.523517000023</v>
      </c>
      <c r="M169" s="297">
        <v>55</v>
      </c>
      <c r="N169" s="451">
        <f t="shared" si="79"/>
        <v>47321.164545454551</v>
      </c>
      <c r="O169" s="306">
        <f t="shared" si="76"/>
        <v>56061.519899000014</v>
      </c>
      <c r="Q169" s="452"/>
      <c r="R169" s="452"/>
      <c r="S169" s="452"/>
      <c r="T169" s="454"/>
    </row>
    <row r="170" spans="1:20" ht="22.15" hidden="1" customHeight="1" outlineLevel="1" x14ac:dyDescent="0.25">
      <c r="A170" s="305">
        <f>E159*'Working Paper 3'!$D$15</f>
        <v>3623457.5800000005</v>
      </c>
      <c r="B170" s="305"/>
      <c r="C170" s="305"/>
      <c r="D170" s="291" t="s">
        <v>126</v>
      </c>
      <c r="E170" s="292">
        <v>200</v>
      </c>
      <c r="F170" s="305">
        <f t="shared" si="77"/>
        <v>2912286.7480000006</v>
      </c>
      <c r="I170" s="297">
        <v>272</v>
      </c>
      <c r="J170" s="451">
        <f t="shared" si="78"/>
        <v>52705.709090909069</v>
      </c>
      <c r="K170" s="306">
        <f t="shared" si="75"/>
        <v>79214.199545600015</v>
      </c>
      <c r="M170" s="297">
        <v>260</v>
      </c>
      <c r="N170" s="451">
        <f t="shared" si="79"/>
        <v>106029.30727272728</v>
      </c>
      <c r="O170" s="306">
        <f t="shared" si="76"/>
        <v>75719.455448000008</v>
      </c>
      <c r="Q170" s="452"/>
      <c r="R170" s="452"/>
      <c r="S170" s="452"/>
      <c r="T170" s="454"/>
    </row>
    <row r="171" spans="1:20" ht="22.15" hidden="1" customHeight="1" outlineLevel="1" x14ac:dyDescent="0.25">
      <c r="A171" s="305">
        <f>E160*'Working Paper 3'!$D$15</f>
        <v>3491492.3000000003</v>
      </c>
      <c r="B171" s="305"/>
      <c r="C171" s="305"/>
      <c r="D171" s="291" t="s">
        <v>127</v>
      </c>
      <c r="E171" s="292">
        <v>200</v>
      </c>
      <c r="F171" s="305">
        <f t="shared" si="77"/>
        <v>2912286.7480000006</v>
      </c>
      <c r="I171" s="297">
        <v>272</v>
      </c>
      <c r="J171" s="451">
        <f t="shared" si="78"/>
        <v>48733.409090909074</v>
      </c>
      <c r="K171" s="306">
        <f t="shared" si="75"/>
        <v>79214.199545600015</v>
      </c>
      <c r="M171" s="297">
        <v>260</v>
      </c>
      <c r="N171" s="451">
        <f t="shared" si="79"/>
        <v>99615.93363636361</v>
      </c>
      <c r="O171" s="306">
        <f t="shared" si="76"/>
        <v>75719.455448000008</v>
      </c>
      <c r="Q171" s="452"/>
      <c r="R171" s="452"/>
      <c r="S171" s="452"/>
      <c r="T171" s="454"/>
    </row>
    <row r="172" spans="1:20" ht="22.15" hidden="1" customHeight="1" outlineLevel="1" x14ac:dyDescent="0.25">
      <c r="E172" s="291"/>
      <c r="I172" s="297"/>
      <c r="Q172" s="452"/>
      <c r="R172" s="452"/>
      <c r="S172" s="452"/>
      <c r="T172" s="452"/>
    </row>
    <row r="173" spans="1:20" ht="22.15" hidden="1" customHeight="1" outlineLevel="1" x14ac:dyDescent="0.25">
      <c r="A173" s="71">
        <f>SUM(A164:A172)</f>
        <v>145614337.40000004</v>
      </c>
      <c r="B173" s="71"/>
      <c r="C173" s="71"/>
      <c r="E173" s="308">
        <f>SUM(E164:E172)</f>
        <v>10000</v>
      </c>
      <c r="F173" s="71">
        <f>SUM(F164:F171)</f>
        <v>145614337.40000004</v>
      </c>
      <c r="I173" s="297">
        <f>K173/F173*10000</f>
        <v>96.79</v>
      </c>
      <c r="J173" s="149">
        <f>SUM(J164:J172)</f>
        <v>2113315.4545454546</v>
      </c>
      <c r="K173" s="149">
        <f>SUM(K164:K172)</f>
        <v>1409401.1716946003</v>
      </c>
      <c r="M173" s="297">
        <f>O173/F173*10000</f>
        <v>63.349999999999994</v>
      </c>
      <c r="N173" s="149">
        <f>SUM(N164:N172)</f>
        <v>1143195.4200000002</v>
      </c>
      <c r="O173" s="149">
        <f>SUM(O164:O172)</f>
        <v>922466.82742900017</v>
      </c>
      <c r="P173" s="320"/>
      <c r="Q173" s="457"/>
      <c r="R173" s="457">
        <f>S173/A173*10000</f>
        <v>17.57</v>
      </c>
      <c r="S173" s="459">
        <f>SUM(S164:S172)</f>
        <v>255844.39081180008</v>
      </c>
      <c r="T173" s="459">
        <f>SUM(T164:T171)</f>
        <v>255844.39081180005</v>
      </c>
    </row>
    <row r="174" spans="1:20" ht="22.15" hidden="1" customHeight="1" outlineLevel="1" x14ac:dyDescent="0.25">
      <c r="O174" s="149">
        <f>K173-O173</f>
        <v>486934.34426560008</v>
      </c>
    </row>
    <row r="175" spans="1:20" ht="22.15" customHeight="1" collapsed="1" x14ac:dyDescent="0.25"/>
    <row r="178" spans="1:41" ht="22.15" customHeight="1" x14ac:dyDescent="0.35">
      <c r="E178" s="468" t="s">
        <v>140</v>
      </c>
      <c r="G178" s="848" t="s">
        <v>132</v>
      </c>
      <c r="H178" s="849"/>
      <c r="I178" s="849"/>
      <c r="J178" s="849"/>
      <c r="K178" s="849"/>
      <c r="L178" s="849"/>
      <c r="M178" s="849"/>
      <c r="N178" s="849"/>
      <c r="O178" s="849"/>
      <c r="P178" s="849"/>
      <c r="Q178" s="849"/>
      <c r="R178" s="849"/>
      <c r="S178" s="849"/>
    </row>
    <row r="179" spans="1:41" ht="22.15" customHeight="1" thickBot="1" x14ac:dyDescent="0.3"/>
    <row r="180" spans="1:41" ht="22.15" customHeight="1" thickBot="1" x14ac:dyDescent="0.3">
      <c r="A180" s="291"/>
      <c r="B180" s="291"/>
      <c r="C180" s="291"/>
      <c r="D180" s="291"/>
      <c r="E180" s="739" t="s">
        <v>101</v>
      </c>
      <c r="F180" s="745"/>
      <c r="G180" s="746"/>
      <c r="H180" s="323"/>
      <c r="I180" s="741" t="s">
        <v>102</v>
      </c>
      <c r="J180" s="747"/>
      <c r="K180" s="748"/>
      <c r="L180" s="323"/>
      <c r="M180" s="743" t="s">
        <v>103</v>
      </c>
      <c r="N180" s="749"/>
      <c r="O180" s="750"/>
      <c r="P180" s="323"/>
      <c r="Q180" s="323"/>
      <c r="R180" s="757" t="s">
        <v>104</v>
      </c>
      <c r="S180" s="758"/>
      <c r="T180" s="759"/>
      <c r="U180" s="323"/>
      <c r="V180" s="321"/>
      <c r="W180" s="820" t="s">
        <v>105</v>
      </c>
      <c r="X180" s="821"/>
      <c r="Y180" s="822"/>
      <c r="Z180" s="787" t="s">
        <v>51</v>
      </c>
      <c r="AA180" s="787"/>
      <c r="AB180" s="824"/>
      <c r="AC180" s="786" t="s">
        <v>133</v>
      </c>
      <c r="AD180" s="787"/>
      <c r="AE180" s="824"/>
      <c r="AF180" s="786" t="s">
        <v>107</v>
      </c>
      <c r="AG180" s="787"/>
      <c r="AH180" s="825"/>
      <c r="AI180" s="805" t="s">
        <v>108</v>
      </c>
      <c r="AJ180" s="805"/>
      <c r="AK180" s="806"/>
      <c r="AL180" s="782" t="s">
        <v>109</v>
      </c>
      <c r="AM180" s="831"/>
      <c r="AN180" s="832"/>
      <c r="AO180" s="291"/>
    </row>
    <row r="181" spans="1:41" ht="22.15" customHeight="1" thickBot="1" x14ac:dyDescent="0.3">
      <c r="A181" s="291"/>
      <c r="B181" s="291"/>
      <c r="C181" s="291"/>
      <c r="D181" s="291"/>
      <c r="E181" s="325" t="s">
        <v>110</v>
      </c>
      <c r="F181" s="739" t="s">
        <v>111</v>
      </c>
      <c r="G181" s="740"/>
      <c r="H181" s="322"/>
      <c r="I181" s="302" t="s">
        <v>110</v>
      </c>
      <c r="J181" s="741" t="s">
        <v>112</v>
      </c>
      <c r="K181" s="742"/>
      <c r="L181" s="322"/>
      <c r="M181" s="302" t="s">
        <v>110</v>
      </c>
      <c r="N181" s="743" t="s">
        <v>112</v>
      </c>
      <c r="O181" s="744"/>
      <c r="P181" s="322"/>
      <c r="Q181" s="322"/>
      <c r="R181" s="328" t="s">
        <v>110</v>
      </c>
      <c r="S181" s="760" t="s">
        <v>112</v>
      </c>
      <c r="T181" s="761"/>
      <c r="U181" s="322"/>
      <c r="V181" s="322"/>
      <c r="W181" s="823"/>
      <c r="X181" s="790"/>
      <c r="Y181" s="791"/>
      <c r="Z181" s="790"/>
      <c r="AA181" s="790"/>
      <c r="AB181" s="790"/>
      <c r="AC181" s="789"/>
      <c r="AD181" s="790"/>
      <c r="AE181" s="790"/>
      <c r="AF181" s="789"/>
      <c r="AG181" s="790"/>
      <c r="AH181" s="826"/>
      <c r="AI181" s="807"/>
      <c r="AJ181" s="807"/>
      <c r="AK181" s="807"/>
      <c r="AL181" s="833"/>
      <c r="AM181" s="834"/>
      <c r="AN181" s="834"/>
      <c r="AO181" s="291"/>
    </row>
    <row r="182" spans="1:41" ht="60.75" customHeight="1" thickBot="1" x14ac:dyDescent="0.3">
      <c r="A182" s="291"/>
      <c r="B182" s="291"/>
      <c r="C182" s="291"/>
      <c r="D182" s="301" t="s">
        <v>124</v>
      </c>
      <c r="E182" s="309">
        <f>'Working Paper 3'!$C$6</f>
        <v>5.3385868718721363E-2</v>
      </c>
      <c r="F182" s="295">
        <f t="shared" ref="F182:F189" si="81">E193/10000</f>
        <v>5.3400000000000003E-2</v>
      </c>
      <c r="G182" s="293"/>
      <c r="H182" s="324"/>
      <c r="I182" s="298">
        <f>'Working Paper 3'!$E$6</f>
        <v>154.93914051185246</v>
      </c>
      <c r="J182" s="299">
        <f>I193</f>
        <v>178</v>
      </c>
      <c r="K182" s="294"/>
      <c r="L182" s="317"/>
      <c r="M182" s="298">
        <f>'Working Paper 3'!$G$6</f>
        <v>169.71789116032431</v>
      </c>
      <c r="N182" s="300">
        <f>M193</f>
        <v>170</v>
      </c>
      <c r="O182" s="294"/>
      <c r="P182" s="317"/>
      <c r="Q182" s="329" t="s">
        <v>113</v>
      </c>
      <c r="R182" s="334">
        <v>9.99</v>
      </c>
      <c r="S182" s="352">
        <f>R193/100</f>
        <v>5</v>
      </c>
      <c r="T182" s="330"/>
      <c r="U182" s="317"/>
      <c r="V182" s="814" t="s">
        <v>110</v>
      </c>
      <c r="W182" s="844">
        <f>'Working Paper 3'!$F$15</f>
        <v>2113315.4545454546</v>
      </c>
      <c r="X182" s="842"/>
      <c r="Y182" s="845"/>
      <c r="Z182" s="846">
        <f>'Working Paper 3'!$H$15</f>
        <v>1143195.4200000002</v>
      </c>
      <c r="AA182" s="842"/>
      <c r="AB182" s="845"/>
      <c r="AC182" s="846">
        <f>'Working Paper 3'!$J$15</f>
        <v>970120.0345454542</v>
      </c>
      <c r="AD182" s="842"/>
      <c r="AE182" s="845"/>
      <c r="AF182" s="847">
        <f>'Working Paper 3'!$J$15/'Working Paper 3'!$F$15</f>
        <v>0.45905121852909264</v>
      </c>
      <c r="AG182" s="842"/>
      <c r="AH182" s="843"/>
      <c r="AI182" s="844">
        <f>S202</f>
        <v>255844.39081180008</v>
      </c>
      <c r="AJ182" s="842"/>
      <c r="AK182" s="842"/>
      <c r="AL182" s="841">
        <f>AC182-AI182</f>
        <v>714275.64373365417</v>
      </c>
      <c r="AM182" s="842"/>
      <c r="AN182" s="843"/>
      <c r="AO182" s="291"/>
    </row>
    <row r="183" spans="1:41" ht="54.95" customHeight="1" thickBot="1" x14ac:dyDescent="0.3">
      <c r="A183" s="291"/>
      <c r="B183" s="291"/>
      <c r="C183" s="291"/>
      <c r="D183" s="301" t="s">
        <v>3</v>
      </c>
      <c r="E183" s="309">
        <f>'Working Paper 3'!$C$7</f>
        <v>0.31889493108389483</v>
      </c>
      <c r="F183" s="295">
        <f t="shared" si="81"/>
        <v>0.31890000000000002</v>
      </c>
      <c r="G183" s="294"/>
      <c r="H183" s="317"/>
      <c r="I183" s="298">
        <f>'Working Paper 3'!$E$7</f>
        <v>142.99254815956868</v>
      </c>
      <c r="J183" s="299">
        <f t="shared" ref="J183:J189" si="82">I194</f>
        <v>65</v>
      </c>
      <c r="K183" s="294"/>
      <c r="L183" s="317"/>
      <c r="M183" s="298">
        <f>'Working Paper 3'!$G$7</f>
        <v>28.660658557912612</v>
      </c>
      <c r="N183" s="300">
        <f t="shared" ref="N183:N189" si="83">M194</f>
        <v>28</v>
      </c>
      <c r="O183" s="294"/>
      <c r="P183" s="317"/>
      <c r="Q183" s="329" t="s">
        <v>115</v>
      </c>
      <c r="R183" s="334">
        <v>2.89</v>
      </c>
      <c r="S183" s="352">
        <f>R194/100</f>
        <v>1</v>
      </c>
      <c r="T183" s="330"/>
      <c r="U183" s="317"/>
      <c r="V183" s="815"/>
      <c r="W183" s="808">
        <f>I191</f>
        <v>145.13100099066577</v>
      </c>
      <c r="X183" s="809"/>
      <c r="Y183" s="810"/>
      <c r="Z183" s="792">
        <f>M191</f>
        <v>78.508438139553675</v>
      </c>
      <c r="AA183" s="809"/>
      <c r="AB183" s="810"/>
      <c r="AC183" s="792">
        <f>W183-Z183</f>
        <v>66.622562851112093</v>
      </c>
      <c r="AD183" s="793"/>
      <c r="AE183" s="794"/>
      <c r="AF183" s="776"/>
      <c r="AG183" s="777"/>
      <c r="AH183" s="778"/>
      <c r="AI183" s="830">
        <f>R185</f>
        <v>17.57</v>
      </c>
      <c r="AJ183" s="809"/>
      <c r="AK183" s="810"/>
      <c r="AL183" s="792">
        <f>AC183-AI183</f>
        <v>49.052562851112093</v>
      </c>
      <c r="AM183" s="809"/>
      <c r="AN183" s="836"/>
      <c r="AO183" s="291"/>
    </row>
    <row r="184" spans="1:41" ht="54.95" customHeight="1" thickBot="1" x14ac:dyDescent="0.3">
      <c r="A184" s="291"/>
      <c r="B184" s="291"/>
      <c r="C184" s="291"/>
      <c r="D184" s="301" t="s">
        <v>4</v>
      </c>
      <c r="E184" s="309">
        <f>'Working Paper 3'!$C$8</f>
        <v>4.0144580364653022E-2</v>
      </c>
      <c r="F184" s="295">
        <f t="shared" si="81"/>
        <v>4.0099999999999997E-2</v>
      </c>
      <c r="G184" s="326"/>
      <c r="H184" s="317"/>
      <c r="I184" s="298">
        <f>'Working Paper 3'!$E$8</f>
        <v>143.45851781578313</v>
      </c>
      <c r="J184" s="299">
        <f t="shared" si="82"/>
        <v>159</v>
      </c>
      <c r="K184" s="294"/>
      <c r="L184" s="317"/>
      <c r="M184" s="298">
        <f>'Working Paper 3'!$G$8</f>
        <v>60.236068170372583</v>
      </c>
      <c r="N184" s="300">
        <f t="shared" si="83"/>
        <v>60</v>
      </c>
      <c r="O184" s="294"/>
      <c r="P184" s="317"/>
      <c r="Q184" s="331" t="s">
        <v>116</v>
      </c>
      <c r="R184" s="334">
        <v>4.6900000000000004</v>
      </c>
      <c r="S184" s="352">
        <f>R195/100</f>
        <v>2</v>
      </c>
      <c r="T184" s="330"/>
      <c r="U184" s="317"/>
      <c r="V184" s="812" t="s">
        <v>134</v>
      </c>
      <c r="W184" s="779">
        <f>K202*S188</f>
        <v>1585406.6774533545</v>
      </c>
      <c r="X184" s="752"/>
      <c r="Y184" s="753"/>
      <c r="Z184" s="766">
        <f>O202*S188</f>
        <v>1005458.2628867562</v>
      </c>
      <c r="AA184" s="752"/>
      <c r="AB184" s="753"/>
      <c r="AC184" s="766">
        <f>W184-Z184</f>
        <v>579948.41456659825</v>
      </c>
      <c r="AD184" s="752"/>
      <c r="AE184" s="753"/>
      <c r="AF184" s="811">
        <f>AC184/K202</f>
        <v>0.36580419573996742</v>
      </c>
      <c r="AG184" s="752"/>
      <c r="AH184" s="828"/>
      <c r="AI184" s="779">
        <f>T202*S188</f>
        <v>116491.46992000005</v>
      </c>
      <c r="AJ184" s="752"/>
      <c r="AK184" s="752"/>
      <c r="AL184" s="840">
        <f>AC184-AI184</f>
        <v>463456.94464659819</v>
      </c>
      <c r="AM184" s="752"/>
      <c r="AN184" s="828"/>
      <c r="AO184" s="291"/>
    </row>
    <row r="185" spans="1:41" ht="54.95" customHeight="1" thickBot="1" x14ac:dyDescent="0.3">
      <c r="A185" s="291"/>
      <c r="B185" s="291"/>
      <c r="C185" s="291"/>
      <c r="D185" s="301" t="s">
        <v>5</v>
      </c>
      <c r="E185" s="309">
        <f>'Working Paper 3'!$C$9</f>
        <v>0.22471477475541493</v>
      </c>
      <c r="F185" s="295">
        <f t="shared" si="81"/>
        <v>0.22470000000000001</v>
      </c>
      <c r="G185" s="294"/>
      <c r="H185" s="317"/>
      <c r="I185" s="298">
        <f>'Working Paper 3'!$E$9</f>
        <v>143.21774507854948</v>
      </c>
      <c r="J185" s="299">
        <f t="shared" si="82"/>
        <v>65</v>
      </c>
      <c r="K185" s="294"/>
      <c r="L185" s="317"/>
      <c r="M185" s="298">
        <f>'Working Paper 3'!$G$9</f>
        <v>65.927949272184037</v>
      </c>
      <c r="N185" s="300">
        <f t="shared" si="83"/>
        <v>66</v>
      </c>
      <c r="O185" s="294"/>
      <c r="P185" s="317"/>
      <c r="Q185" s="340"/>
      <c r="R185" s="332">
        <f>S202/A202*10000</f>
        <v>17.57</v>
      </c>
      <c r="S185" s="339">
        <f>T202/A202*10000</f>
        <v>8.0000000000000018</v>
      </c>
      <c r="T185" s="336"/>
      <c r="U185" s="317"/>
      <c r="V185" s="813"/>
      <c r="W185" s="780">
        <f>J191*$S$68</f>
        <v>108.87709999999998</v>
      </c>
      <c r="X185" s="768"/>
      <c r="Y185" s="769"/>
      <c r="Z185" s="767">
        <f>N191*S188</f>
        <v>69.049399999999977</v>
      </c>
      <c r="AA185" s="768"/>
      <c r="AB185" s="769"/>
      <c r="AC185" s="767">
        <f>W185-Z185</f>
        <v>39.827700000000007</v>
      </c>
      <c r="AD185" s="768"/>
      <c r="AE185" s="768"/>
      <c r="AF185" s="816"/>
      <c r="AG185" s="817"/>
      <c r="AH185" s="818"/>
      <c r="AI185" s="819">
        <f>S185*S188</f>
        <v>8.0000000000000018</v>
      </c>
      <c r="AJ185" s="768"/>
      <c r="AK185" s="768"/>
      <c r="AL185" s="767">
        <f>AC185-AI185</f>
        <v>31.827700000000007</v>
      </c>
      <c r="AM185" s="768"/>
      <c r="AN185" s="837"/>
      <c r="AO185" s="291"/>
    </row>
    <row r="186" spans="1:41" ht="54.95" customHeight="1" thickBot="1" x14ac:dyDescent="0.3">
      <c r="A186" s="291"/>
      <c r="B186" s="291"/>
      <c r="C186" s="291"/>
      <c r="D186" s="301" t="s">
        <v>125</v>
      </c>
      <c r="E186" s="309">
        <f>'Working Paper 3'!$C$10</f>
        <v>0.25481407643310816</v>
      </c>
      <c r="F186" s="295">
        <f t="shared" si="81"/>
        <v>0.25480000000000003</v>
      </c>
      <c r="G186" s="294"/>
      <c r="H186" s="317"/>
      <c r="I186" s="298">
        <f>'Working Paper 3'!$E$10</f>
        <v>148.69146331982427</v>
      </c>
      <c r="J186" s="299">
        <f t="shared" si="82"/>
        <v>159</v>
      </c>
      <c r="K186" s="294"/>
      <c r="L186" s="317"/>
      <c r="M186" s="298">
        <f>'Working Paper 3'!$G$10</f>
        <v>100.86833162399658</v>
      </c>
      <c r="N186" s="300">
        <f t="shared" si="83"/>
        <v>70</v>
      </c>
      <c r="O186" s="294"/>
      <c r="P186" s="317"/>
      <c r="Q186" s="340"/>
      <c r="T186" s="336"/>
      <c r="U186" s="317"/>
      <c r="V186" s="428" t="s">
        <v>119</v>
      </c>
      <c r="W186" s="751">
        <f t="shared" ref="W186:W187" si="84">W182-W184</f>
        <v>527908.77709210012</v>
      </c>
      <c r="X186" s="752"/>
      <c r="Y186" s="753"/>
      <c r="Z186" s="754">
        <f t="shared" ref="Z186:Z187" si="85">Z182-Z184</f>
        <v>137737.15711324394</v>
      </c>
      <c r="AA186" s="755"/>
      <c r="AB186" s="756"/>
      <c r="AC186" s="775">
        <f t="shared" ref="AC186:AC187" si="86">AC182-AC184</f>
        <v>390171.61997885595</v>
      </c>
      <c r="AD186" s="752"/>
      <c r="AE186" s="752"/>
      <c r="AF186" s="781"/>
      <c r="AG186" s="752"/>
      <c r="AH186" s="753"/>
      <c r="AI186" s="774">
        <f t="shared" ref="AI186:AI187" si="87">AI182-AI184</f>
        <v>139352.92089180002</v>
      </c>
      <c r="AJ186" s="752"/>
      <c r="AK186" s="753"/>
      <c r="AL186" s="827">
        <f t="shared" ref="AL186:AL187" si="88">AL182-AL184</f>
        <v>250818.69908705598</v>
      </c>
      <c r="AM186" s="752"/>
      <c r="AN186" s="828"/>
      <c r="AO186" s="291"/>
    </row>
    <row r="187" spans="1:41" ht="54.95" customHeight="1" thickBot="1" x14ac:dyDescent="0.3">
      <c r="A187" s="291"/>
      <c r="B187" s="291"/>
      <c r="C187" s="291"/>
      <c r="D187" s="301" t="s">
        <v>7</v>
      </c>
      <c r="E187" s="309">
        <f>'Working Paper 3'!$C$11</f>
        <v>5.9184166091600793E-2</v>
      </c>
      <c r="F187" s="295">
        <f t="shared" si="81"/>
        <v>5.9200000000000003E-2</v>
      </c>
      <c r="G187" s="294"/>
      <c r="H187" s="317"/>
      <c r="I187" s="298">
        <f>'Working Paper 3'!$E$11</f>
        <v>142.98844600659757</v>
      </c>
      <c r="J187" s="299">
        <f t="shared" si="82"/>
        <v>65</v>
      </c>
      <c r="K187" s="294"/>
      <c r="L187" s="317"/>
      <c r="M187" s="298">
        <f>'Working Paper 3'!$G$11</f>
        <v>54.90928046317822</v>
      </c>
      <c r="N187" s="300">
        <f t="shared" si="83"/>
        <v>55</v>
      </c>
      <c r="O187" s="294"/>
      <c r="P187" s="317"/>
      <c r="Q187" s="340"/>
      <c r="R187" s="719" t="s">
        <v>118</v>
      </c>
      <c r="S187" s="720"/>
      <c r="T187" s="721"/>
      <c r="U187" s="317"/>
      <c r="V187" s="429" t="s">
        <v>120</v>
      </c>
      <c r="W187" s="735">
        <f t="shared" si="84"/>
        <v>36.253900990665784</v>
      </c>
      <c r="X187" s="736"/>
      <c r="Y187" s="737"/>
      <c r="Z187" s="738">
        <f t="shared" si="85"/>
        <v>9.459038139553698</v>
      </c>
      <c r="AA187" s="736"/>
      <c r="AB187" s="737"/>
      <c r="AC187" s="738">
        <f t="shared" si="86"/>
        <v>26.794862851112086</v>
      </c>
      <c r="AD187" s="736"/>
      <c r="AE187" s="736"/>
      <c r="AF187" s="729"/>
      <c r="AG187" s="730"/>
      <c r="AH187" s="731"/>
      <c r="AI187" s="732">
        <f t="shared" si="87"/>
        <v>9.5699999999999985</v>
      </c>
      <c r="AJ187" s="733"/>
      <c r="AK187" s="734"/>
      <c r="AL187" s="838">
        <f t="shared" si="88"/>
        <v>17.224862851112086</v>
      </c>
      <c r="AM187" s="733"/>
      <c r="AN187" s="839"/>
      <c r="AO187" s="291"/>
    </row>
    <row r="188" spans="1:41" ht="54.95" customHeight="1" thickBot="1" x14ac:dyDescent="0.3">
      <c r="A188" s="291"/>
      <c r="B188" s="291"/>
      <c r="C188" s="291"/>
      <c r="D188" s="301" t="s">
        <v>126</v>
      </c>
      <c r="E188" s="309">
        <f>'Working Paper 3'!$C$12</f>
        <v>2.4883934128316128E-2</v>
      </c>
      <c r="F188" s="295">
        <f t="shared" si="81"/>
        <v>2.4899999999999999E-2</v>
      </c>
      <c r="G188" s="294"/>
      <c r="H188" s="317"/>
      <c r="I188" s="298">
        <f>'Working Paper 3'!$E$12</f>
        <v>145.45695079148425</v>
      </c>
      <c r="J188" s="299">
        <f t="shared" si="82"/>
        <v>272</v>
      </c>
      <c r="K188" s="294"/>
      <c r="L188" s="317"/>
      <c r="M188" s="298">
        <f>'Working Paper 3'!$G$12</f>
        <v>292.619148787516</v>
      </c>
      <c r="N188" s="300">
        <f t="shared" si="83"/>
        <v>260</v>
      </c>
      <c r="O188" s="294"/>
      <c r="P188" s="317"/>
      <c r="Q188" s="340"/>
      <c r="R188" s="384">
        <v>1</v>
      </c>
      <c r="S188" s="384">
        <f>R191/100</f>
        <v>1</v>
      </c>
      <c r="T188" s="383"/>
      <c r="U188" s="317"/>
      <c r="V188" s="387"/>
      <c r="W188" s="427"/>
      <c r="X188" s="427"/>
      <c r="Y188" s="427"/>
      <c r="Z188" s="427"/>
      <c r="AA188" s="427"/>
      <c r="AB188" s="427"/>
      <c r="AC188" s="427"/>
      <c r="AD188" s="427"/>
      <c r="AE188" s="427"/>
      <c r="AF188" s="427"/>
      <c r="AG188" s="427"/>
      <c r="AH188" s="427"/>
      <c r="AI188" s="427"/>
      <c r="AJ188" s="427"/>
      <c r="AK188" s="427"/>
      <c r="AL188" s="427"/>
      <c r="AM188" s="427"/>
      <c r="AN188" s="427"/>
      <c r="AO188" s="291"/>
    </row>
    <row r="189" spans="1:41" ht="54.95" customHeight="1" thickBot="1" x14ac:dyDescent="0.3">
      <c r="A189" s="291"/>
      <c r="B189" s="291"/>
      <c r="C189" s="291"/>
      <c r="D189" s="301" t="s">
        <v>127</v>
      </c>
      <c r="E189" s="309">
        <f>'Working Paper 3'!$C$13</f>
        <v>2.3977668424290749E-2</v>
      </c>
      <c r="F189" s="295">
        <f t="shared" si="81"/>
        <v>2.4E-2</v>
      </c>
      <c r="G189" s="294"/>
      <c r="H189" s="317"/>
      <c r="I189" s="298">
        <f>'Working Paper 3'!$E$13</f>
        <v>139.5775929132339</v>
      </c>
      <c r="J189" s="299">
        <f t="shared" si="82"/>
        <v>272</v>
      </c>
      <c r="K189" s="294"/>
      <c r="L189" s="317"/>
      <c r="M189" s="298">
        <f>'Working Paper 3'!$G$13</f>
        <v>285.31047780447233</v>
      </c>
      <c r="N189" s="300">
        <f t="shared" si="83"/>
        <v>260</v>
      </c>
      <c r="O189" s="294"/>
      <c r="P189" s="317"/>
      <c r="Q189" s="341"/>
      <c r="R189" s="337"/>
      <c r="S189" s="318"/>
      <c r="T189" s="338"/>
      <c r="U189" s="317"/>
      <c r="V189" s="387"/>
      <c r="W189" s="427"/>
      <c r="X189" s="427"/>
      <c r="Y189" s="427"/>
      <c r="Z189" s="427"/>
      <c r="AA189" s="427"/>
      <c r="AB189" s="427"/>
      <c r="AC189" s="427"/>
      <c r="AD189" s="427"/>
      <c r="AE189" s="427"/>
      <c r="AF189" s="427"/>
      <c r="AG189" s="427"/>
      <c r="AH189" s="427"/>
      <c r="AI189" s="427"/>
      <c r="AJ189" s="427"/>
      <c r="AK189" s="427"/>
      <c r="AL189" s="427"/>
      <c r="AM189" s="427"/>
      <c r="AN189" s="427"/>
      <c r="AO189" s="291"/>
    </row>
    <row r="190" spans="1:41" ht="22.15" customHeight="1" thickBot="1" x14ac:dyDescent="0.3">
      <c r="A190" s="291"/>
      <c r="B190" s="291"/>
      <c r="C190" s="291"/>
      <c r="D190" s="291"/>
      <c r="E190" s="291"/>
      <c r="F190" s="291"/>
      <c r="G190" s="291"/>
      <c r="H190" s="317"/>
      <c r="I190" s="291"/>
      <c r="J190" s="291"/>
      <c r="K190" s="291"/>
      <c r="L190" s="317"/>
      <c r="M190" s="291"/>
      <c r="N190" s="291"/>
      <c r="O190" s="291"/>
      <c r="P190" s="317"/>
      <c r="Q190" s="317"/>
      <c r="R190" s="317"/>
      <c r="S190" s="317"/>
      <c r="T190" s="317"/>
      <c r="U190" s="317"/>
      <c r="AO190" s="291"/>
    </row>
    <row r="191" spans="1:41" ht="22.15" customHeight="1" thickBot="1" x14ac:dyDescent="0.3">
      <c r="A191" s="291"/>
      <c r="B191" s="291"/>
      <c r="C191" s="291"/>
      <c r="D191" s="291"/>
      <c r="E191" s="315">
        <f>SUM(E182:E190)</f>
        <v>1</v>
      </c>
      <c r="F191" s="316">
        <f>SUM(F182:F190)</f>
        <v>1</v>
      </c>
      <c r="G191" s="291"/>
      <c r="H191" s="317"/>
      <c r="I191" s="356">
        <f>J202/A202*10000</f>
        <v>145.13100099066577</v>
      </c>
      <c r="J191" s="314">
        <f>I202</f>
        <v>108.87709999999998</v>
      </c>
      <c r="K191" s="291"/>
      <c r="L191" s="317"/>
      <c r="M191" s="311">
        <f>N202/A202*10000</f>
        <v>78.508438139553675</v>
      </c>
      <c r="N191" s="312">
        <f>M202</f>
        <v>69.049399999999977</v>
      </c>
      <c r="O191" s="291"/>
      <c r="P191" s="317"/>
      <c r="Q191" s="291"/>
      <c r="R191" s="414">
        <v>100</v>
      </c>
      <c r="S191" s="415">
        <f>S188*1</f>
        <v>1</v>
      </c>
      <c r="T191" s="414"/>
      <c r="U191" s="317"/>
      <c r="AO191" s="291"/>
    </row>
    <row r="192" spans="1:41" ht="22.15" customHeight="1" thickBot="1" x14ac:dyDescent="0.3">
      <c r="A192" s="291"/>
      <c r="B192" s="291"/>
      <c r="C192" s="291"/>
      <c r="D192" s="291"/>
      <c r="E192" s="291"/>
      <c r="F192" s="291"/>
      <c r="G192" s="291"/>
      <c r="H192" s="317"/>
      <c r="I192" s="291"/>
      <c r="J192" s="291"/>
      <c r="K192" s="291"/>
      <c r="L192" s="317"/>
      <c r="M192" s="291"/>
      <c r="N192" s="291"/>
      <c r="O192" s="291"/>
      <c r="P192" s="317"/>
      <c r="Q192" s="317"/>
      <c r="R192" s="317"/>
      <c r="S192" s="317"/>
      <c r="T192" s="317"/>
      <c r="U192" s="317"/>
      <c r="AO192" s="291"/>
    </row>
    <row r="193" spans="1:41" ht="22.15" customHeight="1" thickBot="1" x14ac:dyDescent="0.3">
      <c r="A193" s="305">
        <f>E182*'Working Paper 3'!$D$15</f>
        <v>7773747.9000000004</v>
      </c>
      <c r="B193" s="305"/>
      <c r="C193" s="305"/>
      <c r="D193" s="291" t="s">
        <v>124</v>
      </c>
      <c r="E193" s="460">
        <v>534</v>
      </c>
      <c r="F193" s="461">
        <f>F182*$A$25</f>
        <v>7775805.6171600027</v>
      </c>
      <c r="G193" s="278"/>
      <c r="H193" s="452"/>
      <c r="I193" s="453">
        <v>178</v>
      </c>
      <c r="J193" s="451">
        <f>I182*A193/10000</f>
        <v>120445.7818181818</v>
      </c>
      <c r="K193" s="462">
        <f t="shared" ref="K193:K200" si="89">J182*F193/10000</f>
        <v>138409.33998544805</v>
      </c>
      <c r="L193" s="452"/>
      <c r="M193" s="453">
        <v>170</v>
      </c>
      <c r="N193" s="451">
        <f>M182*A193/10000</f>
        <v>131934.40999999997</v>
      </c>
      <c r="O193" s="462">
        <f t="shared" ref="O193:O200" si="90">N182*F193/10000</f>
        <v>132188.69549172005</v>
      </c>
      <c r="P193" s="452"/>
      <c r="Q193" s="463" t="s">
        <v>113</v>
      </c>
      <c r="R193" s="359">
        <v>500</v>
      </c>
      <c r="S193" s="464">
        <f>R182*$A$25/10000</f>
        <v>145468.72306260004</v>
      </c>
      <c r="T193" s="362">
        <f>R193*F202/1000000</f>
        <v>72807.168700000024</v>
      </c>
      <c r="U193" s="317"/>
      <c r="AO193" s="291"/>
    </row>
    <row r="194" spans="1:41" ht="22.15" customHeight="1" thickBot="1" x14ac:dyDescent="0.3">
      <c r="A194" s="305">
        <f>E183*'Working Paper 3'!$D$15</f>
        <v>46435674.090000018</v>
      </c>
      <c r="B194" s="305"/>
      <c r="C194" s="305"/>
      <c r="D194" s="291" t="s">
        <v>3</v>
      </c>
      <c r="E194" s="460">
        <v>3189</v>
      </c>
      <c r="F194" s="461">
        <f>F183*$A$25</f>
        <v>46436412.196860015</v>
      </c>
      <c r="G194" s="278"/>
      <c r="H194" s="452"/>
      <c r="I194" s="453">
        <v>65</v>
      </c>
      <c r="J194" s="451">
        <f t="shared" ref="J194:J200" si="91">I183*A194/10000</f>
        <v>663995.53636363626</v>
      </c>
      <c r="K194" s="462">
        <f t="shared" si="89"/>
        <v>301836.67927959008</v>
      </c>
      <c r="L194" s="452"/>
      <c r="M194" s="453">
        <v>28</v>
      </c>
      <c r="N194" s="451">
        <f t="shared" ref="N194:N200" si="92">M183*A194/10000</f>
        <v>133087.70000000001</v>
      </c>
      <c r="O194" s="462">
        <f t="shared" si="90"/>
        <v>130021.95415120805</v>
      </c>
      <c r="P194" s="452"/>
      <c r="Q194" s="463" t="s">
        <v>115</v>
      </c>
      <c r="R194" s="359">
        <v>100</v>
      </c>
      <c r="S194" s="464">
        <f t="shared" ref="S194:S195" si="93">R183*$A$25/10000</f>
        <v>42082.543508600014</v>
      </c>
      <c r="T194" s="362">
        <f>R194*F202/1000000</f>
        <v>14561.433740000006</v>
      </c>
    </row>
    <row r="195" spans="1:41" ht="22.15" customHeight="1" thickBot="1" x14ac:dyDescent="0.3">
      <c r="A195" s="305">
        <f>E184*'Working Paper 3'!$D$15</f>
        <v>5845626.4700000016</v>
      </c>
      <c r="B195" s="305"/>
      <c r="C195" s="305"/>
      <c r="D195" s="291" t="s">
        <v>4</v>
      </c>
      <c r="E195" s="460">
        <v>401</v>
      </c>
      <c r="F195" s="461">
        <f t="shared" ref="F195:F200" si="94">F184*$A$25</f>
        <v>5839134.9297400005</v>
      </c>
      <c r="G195" s="278"/>
      <c r="H195" s="452"/>
      <c r="I195" s="453">
        <v>159</v>
      </c>
      <c r="J195" s="451">
        <f t="shared" si="91"/>
        <v>83860.490909090862</v>
      </c>
      <c r="K195" s="462">
        <f t="shared" si="89"/>
        <v>92842.245382866007</v>
      </c>
      <c r="L195" s="452"/>
      <c r="M195" s="453">
        <v>60</v>
      </c>
      <c r="N195" s="451">
        <f t="shared" si="92"/>
        <v>35211.755454545455</v>
      </c>
      <c r="O195" s="462">
        <f t="shared" si="90"/>
        <v>35034.809578440007</v>
      </c>
      <c r="P195" s="452"/>
      <c r="Q195" s="465" t="s">
        <v>116</v>
      </c>
      <c r="R195" s="359">
        <v>200</v>
      </c>
      <c r="S195" s="464">
        <f t="shared" si="93"/>
        <v>68293.124240600024</v>
      </c>
      <c r="T195" s="362">
        <f>R195*F202/1000000</f>
        <v>29122.867480000012</v>
      </c>
    </row>
    <row r="196" spans="1:41" ht="22.15" customHeight="1" x14ac:dyDescent="0.25">
      <c r="A196" s="305">
        <f>E185*'Working Paper 3'!$D$15</f>
        <v>32721693.030000001</v>
      </c>
      <c r="B196" s="305"/>
      <c r="C196" s="305"/>
      <c r="D196" s="291" t="s">
        <v>5</v>
      </c>
      <c r="E196" s="460">
        <v>2247</v>
      </c>
      <c r="F196" s="461">
        <f t="shared" si="94"/>
        <v>32719541.61378001</v>
      </c>
      <c r="G196" s="278"/>
      <c r="H196" s="452"/>
      <c r="I196" s="453">
        <v>65</v>
      </c>
      <c r="J196" s="451">
        <f t="shared" si="91"/>
        <v>468632.70909090899</v>
      </c>
      <c r="K196" s="462">
        <f t="shared" si="89"/>
        <v>212677.02048957007</v>
      </c>
      <c r="L196" s="452"/>
      <c r="M196" s="453">
        <v>66</v>
      </c>
      <c r="N196" s="451">
        <f t="shared" si="92"/>
        <v>215727.4118181818</v>
      </c>
      <c r="O196" s="462">
        <f t="shared" si="90"/>
        <v>215948.97465094805</v>
      </c>
      <c r="P196" s="452"/>
      <c r="Q196" s="452"/>
      <c r="R196" s="452"/>
      <c r="S196" s="452"/>
      <c r="T196" s="454"/>
    </row>
    <row r="197" spans="1:41" ht="22.15" customHeight="1" x14ac:dyDescent="0.25">
      <c r="A197" s="305">
        <f>E186*'Working Paper 3'!$D$15</f>
        <v>37104582.900000006</v>
      </c>
      <c r="B197" s="305"/>
      <c r="C197" s="305"/>
      <c r="D197" s="291" t="s">
        <v>125</v>
      </c>
      <c r="E197" s="460">
        <v>2548</v>
      </c>
      <c r="F197" s="461">
        <f t="shared" si="94"/>
        <v>37102533.169520013</v>
      </c>
      <c r="G197" s="278"/>
      <c r="H197" s="452"/>
      <c r="I197" s="453">
        <v>159</v>
      </c>
      <c r="J197" s="451">
        <f t="shared" si="91"/>
        <v>551713.47272727301</v>
      </c>
      <c r="K197" s="462">
        <f t="shared" si="89"/>
        <v>589930.2773953682</v>
      </c>
      <c r="L197" s="452"/>
      <c r="M197" s="453">
        <v>70</v>
      </c>
      <c r="N197" s="451">
        <f t="shared" si="92"/>
        <v>374267.73727272736</v>
      </c>
      <c r="O197" s="462">
        <f t="shared" si="90"/>
        <v>259717.73218664006</v>
      </c>
      <c r="P197" s="452"/>
      <c r="Q197" s="452"/>
      <c r="R197" s="452"/>
      <c r="S197" s="452"/>
      <c r="T197" s="454"/>
    </row>
    <row r="198" spans="1:41" ht="22.15" customHeight="1" x14ac:dyDescent="0.25">
      <c r="A198" s="305">
        <f>E187*'Working Paper 3'!$D$15</f>
        <v>8618063.129999999</v>
      </c>
      <c r="B198" s="305"/>
      <c r="C198" s="305"/>
      <c r="D198" s="291" t="s">
        <v>7</v>
      </c>
      <c r="E198" s="460">
        <v>592</v>
      </c>
      <c r="F198" s="461">
        <f t="shared" si="94"/>
        <v>8620368.7740800027</v>
      </c>
      <c r="G198" s="278"/>
      <c r="H198" s="452"/>
      <c r="I198" s="453">
        <v>65</v>
      </c>
      <c r="J198" s="451">
        <f t="shared" si="91"/>
        <v>123228.3454545454</v>
      </c>
      <c r="K198" s="462">
        <f t="shared" si="89"/>
        <v>56032.39703152002</v>
      </c>
      <c r="L198" s="452"/>
      <c r="M198" s="453">
        <v>55</v>
      </c>
      <c r="N198" s="451">
        <f t="shared" si="92"/>
        <v>47321.164545454551</v>
      </c>
      <c r="O198" s="462">
        <f t="shared" si="90"/>
        <v>47412.028257440012</v>
      </c>
      <c r="P198" s="452"/>
      <c r="Q198" s="452"/>
      <c r="R198" s="452"/>
      <c r="S198" s="452"/>
      <c r="T198" s="454"/>
      <c r="V198" s="320"/>
      <c r="W198" s="297"/>
      <c r="X198" s="297"/>
      <c r="Y198" s="297"/>
    </row>
    <row r="199" spans="1:41" ht="22.15" customHeight="1" x14ac:dyDescent="0.25">
      <c r="A199" s="305">
        <f>E188*'Working Paper 3'!$D$15</f>
        <v>3623457.5800000005</v>
      </c>
      <c r="B199" s="305"/>
      <c r="C199" s="305"/>
      <c r="D199" s="291" t="s">
        <v>126</v>
      </c>
      <c r="E199" s="460">
        <v>249</v>
      </c>
      <c r="F199" s="461">
        <f t="shared" si="94"/>
        <v>3625797.0012600007</v>
      </c>
      <c r="G199" s="278"/>
      <c r="H199" s="452"/>
      <c r="I199" s="453">
        <v>272</v>
      </c>
      <c r="J199" s="451">
        <f t="shared" si="91"/>
        <v>52705.709090909069</v>
      </c>
      <c r="K199" s="462">
        <f t="shared" si="89"/>
        <v>98621.67843427202</v>
      </c>
      <c r="L199" s="452"/>
      <c r="M199" s="453">
        <v>260</v>
      </c>
      <c r="N199" s="451">
        <f t="shared" si="92"/>
        <v>106029.30727272728</v>
      </c>
      <c r="O199" s="462">
        <f t="shared" si="90"/>
        <v>94270.722032760023</v>
      </c>
      <c r="P199" s="452"/>
      <c r="Q199" s="452"/>
      <c r="R199" s="452"/>
      <c r="S199" s="452"/>
      <c r="T199" s="454"/>
    </row>
    <row r="200" spans="1:41" ht="22.15" customHeight="1" x14ac:dyDescent="0.25">
      <c r="A200" s="305">
        <f>E189*'Working Paper 3'!$D$15</f>
        <v>3491492.3000000003</v>
      </c>
      <c r="B200" s="305"/>
      <c r="C200" s="305"/>
      <c r="D200" s="291" t="s">
        <v>127</v>
      </c>
      <c r="E200" s="460">
        <v>240</v>
      </c>
      <c r="F200" s="461">
        <f t="shared" si="94"/>
        <v>3494744.0976000009</v>
      </c>
      <c r="G200" s="278"/>
      <c r="H200" s="452"/>
      <c r="I200" s="453">
        <v>272</v>
      </c>
      <c r="J200" s="451">
        <f t="shared" si="91"/>
        <v>48733.409090909074</v>
      </c>
      <c r="K200" s="462">
        <f t="shared" si="89"/>
        <v>95057.039454720027</v>
      </c>
      <c r="L200" s="452"/>
      <c r="M200" s="453">
        <v>260</v>
      </c>
      <c r="N200" s="451">
        <f t="shared" si="92"/>
        <v>99615.93363636361</v>
      </c>
      <c r="O200" s="462">
        <f t="shared" si="90"/>
        <v>90863.346537600024</v>
      </c>
      <c r="P200" s="452"/>
      <c r="Q200" s="452"/>
      <c r="R200" s="452"/>
      <c r="S200" s="452"/>
      <c r="T200" s="454"/>
    </row>
    <row r="201" spans="1:41" ht="22.15" customHeight="1" x14ac:dyDescent="0.25">
      <c r="E201" s="278"/>
      <c r="F201" s="278"/>
      <c r="G201" s="278"/>
      <c r="H201" s="452"/>
      <c r="I201" s="453"/>
      <c r="J201" s="278"/>
      <c r="K201" s="278"/>
      <c r="L201" s="452"/>
      <c r="M201" s="278"/>
      <c r="N201" s="278"/>
      <c r="O201" s="278"/>
      <c r="P201" s="452"/>
      <c r="Q201" s="452"/>
      <c r="R201" s="452"/>
      <c r="S201" s="452"/>
      <c r="T201" s="452"/>
    </row>
    <row r="202" spans="1:41" ht="22.15" customHeight="1" x14ac:dyDescent="0.25">
      <c r="A202" s="433">
        <f>SUM(A193:A201)</f>
        <v>145614337.40000004</v>
      </c>
      <c r="B202" s="433"/>
      <c r="C202" s="433"/>
      <c r="D202" s="98"/>
      <c r="E202" s="466">
        <f>SUM(E193:E201)</f>
        <v>10000</v>
      </c>
      <c r="F202" s="455">
        <f>SUM(F193:F200)</f>
        <v>145614337.40000007</v>
      </c>
      <c r="G202" s="456"/>
      <c r="H202" s="456"/>
      <c r="I202" s="457">
        <f>K202/F202*10000</f>
        <v>108.87709999999998</v>
      </c>
      <c r="J202" s="458">
        <f>SUM(J193:J201)</f>
        <v>2113315.4545454546</v>
      </c>
      <c r="K202" s="458">
        <f>SUM(K193:K201)</f>
        <v>1585406.6774533545</v>
      </c>
      <c r="L202" s="456"/>
      <c r="M202" s="457">
        <f>O202/F202*10000</f>
        <v>69.049399999999977</v>
      </c>
      <c r="N202" s="458">
        <f>SUM(N193:N201)</f>
        <v>1143195.4200000002</v>
      </c>
      <c r="O202" s="458">
        <f>SUM(O193:O201)</f>
        <v>1005458.2628867562</v>
      </c>
      <c r="P202" s="457"/>
      <c r="Q202" s="457"/>
      <c r="R202" s="457">
        <f>S202/A202*10000</f>
        <v>17.57</v>
      </c>
      <c r="S202" s="459">
        <f>SUM(S193:S201)</f>
        <v>255844.39081180008</v>
      </c>
      <c r="T202" s="459">
        <f>SUM(T193:T200)</f>
        <v>116491.46992000005</v>
      </c>
      <c r="U202" s="320"/>
    </row>
    <row r="203" spans="1:41" ht="22.15" customHeight="1" x14ac:dyDescent="0.25">
      <c r="N203" s="149">
        <f>K202-O202</f>
        <v>579948.41456659825</v>
      </c>
    </row>
  </sheetData>
  <mergeCells count="348">
    <mergeCell ref="W186:Y186"/>
    <mergeCell ref="Z186:AB186"/>
    <mergeCell ref="AC186:AE186"/>
    <mergeCell ref="AF186:AH186"/>
    <mergeCell ref="AI186:AK186"/>
    <mergeCell ref="AL186:AN186"/>
    <mergeCell ref="R187:T187"/>
    <mergeCell ref="W187:Y187"/>
    <mergeCell ref="Z187:AB187"/>
    <mergeCell ref="AC187:AE187"/>
    <mergeCell ref="AF187:AH187"/>
    <mergeCell ref="AI187:AK187"/>
    <mergeCell ref="AL187:AN187"/>
    <mergeCell ref="V184:V185"/>
    <mergeCell ref="W184:Y184"/>
    <mergeCell ref="Z184:AB184"/>
    <mergeCell ref="AC184:AE184"/>
    <mergeCell ref="AF184:AH184"/>
    <mergeCell ref="AI184:AK184"/>
    <mergeCell ref="AL184:AN184"/>
    <mergeCell ref="W185:Y185"/>
    <mergeCell ref="Z185:AB185"/>
    <mergeCell ref="AC185:AE185"/>
    <mergeCell ref="AF185:AH185"/>
    <mergeCell ref="AI185:AK185"/>
    <mergeCell ref="AL185:AN185"/>
    <mergeCell ref="AF180:AH181"/>
    <mergeCell ref="AI180:AK181"/>
    <mergeCell ref="AL180:AN181"/>
    <mergeCell ref="F181:G181"/>
    <mergeCell ref="J181:K181"/>
    <mergeCell ref="N181:O181"/>
    <mergeCell ref="S181:T181"/>
    <mergeCell ref="V182:V183"/>
    <mergeCell ref="W182:Y182"/>
    <mergeCell ref="Z182:AB182"/>
    <mergeCell ref="AC182:AE182"/>
    <mergeCell ref="AF182:AH182"/>
    <mergeCell ref="AI182:AK182"/>
    <mergeCell ref="AL182:AN182"/>
    <mergeCell ref="W183:Y183"/>
    <mergeCell ref="Z183:AB183"/>
    <mergeCell ref="AC183:AE183"/>
    <mergeCell ref="AF183:AH183"/>
    <mergeCell ref="AI183:AK183"/>
    <mergeCell ref="AL183:AN183"/>
    <mergeCell ref="G149:O149"/>
    <mergeCell ref="G178:S178"/>
    <mergeCell ref="E180:G180"/>
    <mergeCell ref="I180:K180"/>
    <mergeCell ref="M180:O180"/>
    <mergeCell ref="R180:T180"/>
    <mergeCell ref="W180:Y181"/>
    <mergeCell ref="Z180:AB181"/>
    <mergeCell ref="AC180:AE181"/>
    <mergeCell ref="W157:Y157"/>
    <mergeCell ref="Z157:AB157"/>
    <mergeCell ref="AC157:AE157"/>
    <mergeCell ref="V155:V156"/>
    <mergeCell ref="W155:Y155"/>
    <mergeCell ref="Z155:AB155"/>
    <mergeCell ref="AC155:AE155"/>
    <mergeCell ref="AC151:AE152"/>
    <mergeCell ref="AF157:AH157"/>
    <mergeCell ref="AI157:AK157"/>
    <mergeCell ref="AL157:AN157"/>
    <mergeCell ref="R158:T158"/>
    <mergeCell ref="W158:Y158"/>
    <mergeCell ref="Z158:AB158"/>
    <mergeCell ref="AC158:AE158"/>
    <mergeCell ref="AF158:AH158"/>
    <mergeCell ref="AI158:AK158"/>
    <mergeCell ref="AL158:AN158"/>
    <mergeCell ref="AF155:AH155"/>
    <mergeCell ref="AI155:AK155"/>
    <mergeCell ref="AL155:AN155"/>
    <mergeCell ref="W156:Y156"/>
    <mergeCell ref="Z156:AB156"/>
    <mergeCell ref="AC156:AE156"/>
    <mergeCell ref="AF156:AH156"/>
    <mergeCell ref="AI156:AK156"/>
    <mergeCell ref="AL156:AN156"/>
    <mergeCell ref="AI153:AK153"/>
    <mergeCell ref="AL153:AN153"/>
    <mergeCell ref="W154:Y154"/>
    <mergeCell ref="Z154:AB154"/>
    <mergeCell ref="AC154:AE154"/>
    <mergeCell ref="AF154:AH154"/>
    <mergeCell ref="AI154:AK154"/>
    <mergeCell ref="AL154:AN154"/>
    <mergeCell ref="E151:G151"/>
    <mergeCell ref="I151:K151"/>
    <mergeCell ref="M151:O151"/>
    <mergeCell ref="R151:T151"/>
    <mergeCell ref="W151:Y152"/>
    <mergeCell ref="Z151:AB152"/>
    <mergeCell ref="F152:G152"/>
    <mergeCell ref="J152:K152"/>
    <mergeCell ref="N152:O152"/>
    <mergeCell ref="S152:T152"/>
    <mergeCell ref="V153:V154"/>
    <mergeCell ref="W153:Y153"/>
    <mergeCell ref="Z153:AB153"/>
    <mergeCell ref="AC153:AE153"/>
    <mergeCell ref="AF153:AH153"/>
    <mergeCell ref="AI124:AK124"/>
    <mergeCell ref="AL124:AN124"/>
    <mergeCell ref="W125:Y125"/>
    <mergeCell ref="Z125:AB125"/>
    <mergeCell ref="AC125:AE125"/>
    <mergeCell ref="AF125:AH125"/>
    <mergeCell ref="AI125:AK125"/>
    <mergeCell ref="AL125:AN125"/>
    <mergeCell ref="AF151:AH152"/>
    <mergeCell ref="AI151:AK152"/>
    <mergeCell ref="W126:Y126"/>
    <mergeCell ref="Z126:AB126"/>
    <mergeCell ref="AC126:AE126"/>
    <mergeCell ref="AF126:AH126"/>
    <mergeCell ref="AI126:AK126"/>
    <mergeCell ref="AL126:AN126"/>
    <mergeCell ref="W127:Y127"/>
    <mergeCell ref="Z127:AB127"/>
    <mergeCell ref="AC127:AE127"/>
    <mergeCell ref="AF127:AH127"/>
    <mergeCell ref="AI127:AK127"/>
    <mergeCell ref="AL127:AN127"/>
    <mergeCell ref="AL151:AN152"/>
    <mergeCell ref="G58:S58"/>
    <mergeCell ref="W120:Y121"/>
    <mergeCell ref="Z120:AB121"/>
    <mergeCell ref="AC120:AE121"/>
    <mergeCell ref="AF120:AH121"/>
    <mergeCell ref="AI120:AK121"/>
    <mergeCell ref="AL120:AN121"/>
    <mergeCell ref="V122:V123"/>
    <mergeCell ref="W122:Y122"/>
    <mergeCell ref="Z122:AB122"/>
    <mergeCell ref="AC122:AE122"/>
    <mergeCell ref="AF122:AH122"/>
    <mergeCell ref="AI122:AK122"/>
    <mergeCell ref="AL122:AN122"/>
    <mergeCell ref="W123:Y123"/>
    <mergeCell ref="Z123:AB123"/>
    <mergeCell ref="AC123:AE123"/>
    <mergeCell ref="AF123:AH123"/>
    <mergeCell ref="AI123:AK123"/>
    <mergeCell ref="AL123:AN123"/>
    <mergeCell ref="E120:G120"/>
    <mergeCell ref="I120:K120"/>
    <mergeCell ref="M120:O120"/>
    <mergeCell ref="R120:T120"/>
    <mergeCell ref="F121:G121"/>
    <mergeCell ref="J121:K121"/>
    <mergeCell ref="N121:O121"/>
    <mergeCell ref="S121:T121"/>
    <mergeCell ref="R127:T127"/>
    <mergeCell ref="W67:Y67"/>
    <mergeCell ref="Z67:AB67"/>
    <mergeCell ref="AC67:AE67"/>
    <mergeCell ref="AF67:AH67"/>
    <mergeCell ref="F91:G91"/>
    <mergeCell ref="J91:K91"/>
    <mergeCell ref="N91:O91"/>
    <mergeCell ref="E90:G90"/>
    <mergeCell ref="I90:K90"/>
    <mergeCell ref="M90:O90"/>
    <mergeCell ref="V124:V125"/>
    <mergeCell ref="W124:Y124"/>
    <mergeCell ref="Z124:AB124"/>
    <mergeCell ref="AC124:AE124"/>
    <mergeCell ref="AF124:AH124"/>
    <mergeCell ref="AI67:AK67"/>
    <mergeCell ref="AL67:AN67"/>
    <mergeCell ref="R90:T90"/>
    <mergeCell ref="S91:T91"/>
    <mergeCell ref="R97:T97"/>
    <mergeCell ref="R60:T60"/>
    <mergeCell ref="S61:T61"/>
    <mergeCell ref="R67:T67"/>
    <mergeCell ref="W62:Y62"/>
    <mergeCell ref="Z62:AB62"/>
    <mergeCell ref="AC62:AE62"/>
    <mergeCell ref="AF62:AH62"/>
    <mergeCell ref="AI62:AK62"/>
    <mergeCell ref="W63:Y63"/>
    <mergeCell ref="Z63:AB63"/>
    <mergeCell ref="AC63:AE63"/>
    <mergeCell ref="AF63:AH63"/>
    <mergeCell ref="AI63:AK63"/>
    <mergeCell ref="W64:Y64"/>
    <mergeCell ref="Z64:AB64"/>
    <mergeCell ref="AC64:AE64"/>
    <mergeCell ref="AF64:AH64"/>
    <mergeCell ref="AI64:AK64"/>
    <mergeCell ref="W65:Y65"/>
    <mergeCell ref="AL62:AN62"/>
    <mergeCell ref="AL63:AN63"/>
    <mergeCell ref="AL64:AN64"/>
    <mergeCell ref="AL65:AN65"/>
    <mergeCell ref="AI35:AK35"/>
    <mergeCell ref="AC35:AE35"/>
    <mergeCell ref="AF35:AH35"/>
    <mergeCell ref="AF33:AH33"/>
    <mergeCell ref="AI11:AK12"/>
    <mergeCell ref="AL11:AN12"/>
    <mergeCell ref="AL30:AN31"/>
    <mergeCell ref="AL32:AN32"/>
    <mergeCell ref="AL33:AN33"/>
    <mergeCell ref="AL34:AN34"/>
    <mergeCell ref="AL35:AN35"/>
    <mergeCell ref="AL60:AN61"/>
    <mergeCell ref="AL36:AN36"/>
    <mergeCell ref="AL37:AN37"/>
    <mergeCell ref="AI34:AK34"/>
    <mergeCell ref="AF32:AH32"/>
    <mergeCell ref="AL66:AN66"/>
    <mergeCell ref="AF7:AH7"/>
    <mergeCell ref="AC8:AE8"/>
    <mergeCell ref="AF8:AH8"/>
    <mergeCell ref="AF5:AH5"/>
    <mergeCell ref="W6:Y6"/>
    <mergeCell ref="Z6:AB6"/>
    <mergeCell ref="AI6:AK6"/>
    <mergeCell ref="W3:Y4"/>
    <mergeCell ref="Z3:AB4"/>
    <mergeCell ref="AI3:AK4"/>
    <mergeCell ref="AL3:AN4"/>
    <mergeCell ref="AL5:AN5"/>
    <mergeCell ref="AL6:AN6"/>
    <mergeCell ref="AL7:AN7"/>
    <mergeCell ref="AL8:AN8"/>
    <mergeCell ref="AL9:AN9"/>
    <mergeCell ref="AL10:AN10"/>
    <mergeCell ref="AI7:AK7"/>
    <mergeCell ref="AI8:AK8"/>
    <mergeCell ref="AI33:AK33"/>
    <mergeCell ref="AI36:AK36"/>
    <mergeCell ref="AI32:AK32"/>
    <mergeCell ref="Z35:AB35"/>
    <mergeCell ref="AI66:AK66"/>
    <mergeCell ref="F61:G61"/>
    <mergeCell ref="J61:K61"/>
    <mergeCell ref="N61:O61"/>
    <mergeCell ref="V62:V63"/>
    <mergeCell ref="AI60:AK61"/>
    <mergeCell ref="Z65:AB65"/>
    <mergeCell ref="AC65:AE65"/>
    <mergeCell ref="AF65:AH65"/>
    <mergeCell ref="AI65:AK65"/>
    <mergeCell ref="E60:G60"/>
    <mergeCell ref="I60:K60"/>
    <mergeCell ref="M60:O60"/>
    <mergeCell ref="W60:Y61"/>
    <mergeCell ref="Z60:AB61"/>
    <mergeCell ref="AC60:AE61"/>
    <mergeCell ref="AF60:AH61"/>
    <mergeCell ref="W36:Y36"/>
    <mergeCell ref="Z36:AB36"/>
    <mergeCell ref="AC36:AE36"/>
    <mergeCell ref="AF36:AH36"/>
    <mergeCell ref="AF34:AH34"/>
    <mergeCell ref="V64:V65"/>
    <mergeCell ref="W66:Y66"/>
    <mergeCell ref="Z66:AB66"/>
    <mergeCell ref="AC66:AE66"/>
    <mergeCell ref="AF66:AH66"/>
    <mergeCell ref="W32:Y32"/>
    <mergeCell ref="Z32:AB32"/>
    <mergeCell ref="AC32:AE32"/>
    <mergeCell ref="W35:Y35"/>
    <mergeCell ref="W34:Y34"/>
    <mergeCell ref="Z34:AB34"/>
    <mergeCell ref="AC34:AE34"/>
    <mergeCell ref="V34:V35"/>
    <mergeCell ref="W33:Y33"/>
    <mergeCell ref="Z33:AB33"/>
    <mergeCell ref="V32:V33"/>
    <mergeCell ref="AC33:AE33"/>
    <mergeCell ref="F31:G31"/>
    <mergeCell ref="J31:K31"/>
    <mergeCell ref="N31:O31"/>
    <mergeCell ref="E30:G30"/>
    <mergeCell ref="I30:K30"/>
    <mergeCell ref="M30:O30"/>
    <mergeCell ref="W30:Y31"/>
    <mergeCell ref="Z30:AB31"/>
    <mergeCell ref="AI30:AK31"/>
    <mergeCell ref="R30:T30"/>
    <mergeCell ref="S31:T31"/>
    <mergeCell ref="AC30:AE31"/>
    <mergeCell ref="AF30:AH31"/>
    <mergeCell ref="W11:Y12"/>
    <mergeCell ref="AC11:AE12"/>
    <mergeCell ref="AF11:AH12"/>
    <mergeCell ref="Z11:AB12"/>
    <mergeCell ref="AC3:AE4"/>
    <mergeCell ref="AF3:AH4"/>
    <mergeCell ref="AC6:AE6"/>
    <mergeCell ref="W5:Y5"/>
    <mergeCell ref="Z5:AB5"/>
    <mergeCell ref="AI5:AK5"/>
    <mergeCell ref="AC5:AE5"/>
    <mergeCell ref="AI9:AK9"/>
    <mergeCell ref="AC9:AE9"/>
    <mergeCell ref="AF6:AH6"/>
    <mergeCell ref="W7:Y7"/>
    <mergeCell ref="W8:Y8"/>
    <mergeCell ref="AF9:AH9"/>
    <mergeCell ref="AF10:AH10"/>
    <mergeCell ref="W10:Y10"/>
    <mergeCell ref="Z10:AB10"/>
    <mergeCell ref="AI10:AK10"/>
    <mergeCell ref="AC10:AE10"/>
    <mergeCell ref="AC7:AE7"/>
    <mergeCell ref="F4:G4"/>
    <mergeCell ref="J4:K4"/>
    <mergeCell ref="N4:O4"/>
    <mergeCell ref="E3:G3"/>
    <mergeCell ref="I3:K3"/>
    <mergeCell ref="M3:O3"/>
    <mergeCell ref="R9:T9"/>
    <mergeCell ref="W9:Y9"/>
    <mergeCell ref="Z9:AB9"/>
    <mergeCell ref="R3:T3"/>
    <mergeCell ref="S4:T4"/>
    <mergeCell ref="V7:V8"/>
    <mergeCell ref="V5:V6"/>
    <mergeCell ref="Z7:AB7"/>
    <mergeCell ref="Z8:AB8"/>
    <mergeCell ref="R37:T37"/>
    <mergeCell ref="AC38:AE38"/>
    <mergeCell ref="AF38:AH38"/>
    <mergeCell ref="AI38:AK38"/>
    <mergeCell ref="AL38:AN38"/>
    <mergeCell ref="W39:Y39"/>
    <mergeCell ref="Z39:AB39"/>
    <mergeCell ref="AC39:AE39"/>
    <mergeCell ref="AF39:AH39"/>
    <mergeCell ref="AI39:AK39"/>
    <mergeCell ref="AL39:AN39"/>
    <mergeCell ref="AF37:AH37"/>
    <mergeCell ref="AI37:AK37"/>
    <mergeCell ref="W38:Y38"/>
    <mergeCell ref="Z38:AB38"/>
    <mergeCell ref="W37:Y37"/>
    <mergeCell ref="Z37:AB37"/>
    <mergeCell ref="AC37:AE37"/>
  </mergeCells>
  <conditionalFormatting sqref="W9:W11 AF9:AF11 AC11">
    <cfRule type="cellIs" dxfId="111" priority="170" operator="lessThan">
      <formula>0</formula>
    </cfRule>
    <cfRule type="cellIs" dxfId="110" priority="171" operator="greaterThan">
      <formula>0</formula>
    </cfRule>
  </conditionalFormatting>
  <conditionalFormatting sqref="W36:W39 AF36:AF39">
    <cfRule type="cellIs" dxfId="109" priority="86" operator="greaterThan">
      <formula>0</formula>
    </cfRule>
    <cfRule type="cellIs" dxfId="108" priority="85" operator="lessThan">
      <formula>0</formula>
    </cfRule>
  </conditionalFormatting>
  <conditionalFormatting sqref="W66:W68 AF66:AF68">
    <cfRule type="cellIs" dxfId="107" priority="67" operator="greaterThan">
      <formula>0</formula>
    </cfRule>
    <cfRule type="cellIs" dxfId="106" priority="66" operator="lessThan">
      <formula>0</formula>
    </cfRule>
  </conditionalFormatting>
  <conditionalFormatting sqref="W96">
    <cfRule type="cellIs" dxfId="105" priority="126" operator="lessThan">
      <formula>0</formula>
    </cfRule>
    <cfRule type="cellIs" dxfId="104" priority="127" operator="greaterThan">
      <formula>0</formula>
    </cfRule>
  </conditionalFormatting>
  <conditionalFormatting sqref="W98 AC98 AF98">
    <cfRule type="cellIs" dxfId="103" priority="123" operator="greaterThan">
      <formula>0</formula>
    </cfRule>
    <cfRule type="cellIs" dxfId="102" priority="122" operator="lessThan">
      <formula>0</formula>
    </cfRule>
  </conditionalFormatting>
  <conditionalFormatting sqref="W126:W127 AF126:AF127">
    <cfRule type="cellIs" dxfId="101" priority="50" operator="lessThan">
      <formula>0</formula>
    </cfRule>
    <cfRule type="cellIs" dxfId="100" priority="51" operator="greaterThan">
      <formula>0</formula>
    </cfRule>
  </conditionalFormatting>
  <conditionalFormatting sqref="W157:W158 AF157:AF158">
    <cfRule type="cellIs" dxfId="99" priority="35" operator="greaterThan">
      <formula>0</formula>
    </cfRule>
    <cfRule type="cellIs" dxfId="98" priority="34" operator="lessThan">
      <formula>0</formula>
    </cfRule>
  </conditionalFormatting>
  <conditionalFormatting sqref="W186:W188 AF186:AF188">
    <cfRule type="cellIs" dxfId="97" priority="13" operator="lessThan">
      <formula>0</formula>
    </cfRule>
    <cfRule type="cellIs" dxfId="96" priority="14" operator="greaterThan">
      <formula>0</formula>
    </cfRule>
  </conditionalFormatting>
  <conditionalFormatting sqref="Z9:Z11">
    <cfRule type="cellIs" dxfId="95" priority="167" operator="greaterThan">
      <formula>0</formula>
    </cfRule>
    <cfRule type="cellIs" dxfId="94" priority="166" operator="lessThan">
      <formula>0</formula>
    </cfRule>
  </conditionalFormatting>
  <conditionalFormatting sqref="Z36:Z39">
    <cfRule type="cellIs" dxfId="93" priority="82" operator="greaterThan">
      <formula>0</formula>
    </cfRule>
    <cfRule type="cellIs" dxfId="92" priority="81" operator="lessThan">
      <formula>0</formula>
    </cfRule>
  </conditionalFormatting>
  <conditionalFormatting sqref="Z66:Z68">
    <cfRule type="cellIs" dxfId="91" priority="63" operator="greaterThan">
      <formula>0</formula>
    </cfRule>
    <cfRule type="cellIs" dxfId="90" priority="62" operator="lessThan">
      <formula>0</formula>
    </cfRule>
  </conditionalFormatting>
  <conditionalFormatting sqref="Z98">
    <cfRule type="cellIs" dxfId="89" priority="119" operator="greaterThan">
      <formula>0</formula>
    </cfRule>
    <cfRule type="cellIs" dxfId="88" priority="118" operator="lessThan">
      <formula>0</formula>
    </cfRule>
  </conditionalFormatting>
  <conditionalFormatting sqref="Z126:Z127">
    <cfRule type="cellIs" dxfId="87" priority="47" operator="greaterThan">
      <formula>0</formula>
    </cfRule>
    <cfRule type="cellIs" dxfId="86" priority="46" operator="lessThan">
      <formula>0</formula>
    </cfRule>
  </conditionalFormatting>
  <conditionalFormatting sqref="Z157:Z158">
    <cfRule type="cellIs" dxfId="85" priority="31" operator="greaterThan">
      <formula>0</formula>
    </cfRule>
    <cfRule type="cellIs" dxfId="84" priority="30" operator="lessThan">
      <formula>0</formula>
    </cfRule>
  </conditionalFormatting>
  <conditionalFormatting sqref="Z186:Z188">
    <cfRule type="cellIs" dxfId="83" priority="10" operator="greaterThan">
      <formula>0</formula>
    </cfRule>
    <cfRule type="cellIs" dxfId="82" priority="9" operator="lessThan">
      <formula>0</formula>
    </cfRule>
  </conditionalFormatting>
  <conditionalFormatting sqref="Z11:AB12">
    <cfRule type="cellIs" dxfId="81" priority="164" operator="greaterThan">
      <formula>0</formula>
    </cfRule>
  </conditionalFormatting>
  <conditionalFormatting sqref="Z68:AB69">
    <cfRule type="cellIs" dxfId="80" priority="128" operator="greaterThan">
      <formula>0</formula>
    </cfRule>
  </conditionalFormatting>
  <conditionalFormatting sqref="Z98:AB98 AI36:AI39 Z36:Z39 AI66:AI68 Z66:Z67 Z9:Z10 AI9:AI11 AI98">
    <cfRule type="cellIs" dxfId="79" priority="165" operator="greaterThan">
      <formula>0</formula>
    </cfRule>
  </conditionalFormatting>
  <conditionalFormatting sqref="Z99:AB99">
    <cfRule type="cellIs" dxfId="78" priority="116" operator="greaterThan">
      <formula>0</formula>
    </cfRule>
  </conditionalFormatting>
  <conditionalFormatting sqref="Z188:AB189">
    <cfRule type="cellIs" dxfId="77" priority="16" operator="greaterThan">
      <formula>0</formula>
    </cfRule>
  </conditionalFormatting>
  <conditionalFormatting sqref="Z96:AN97">
    <cfRule type="cellIs" dxfId="76" priority="109" operator="greaterThan">
      <formula>0</formula>
    </cfRule>
    <cfRule type="cellIs" dxfId="75" priority="108" operator="lessThan">
      <formula>0</formula>
    </cfRule>
  </conditionalFormatting>
  <conditionalFormatting sqref="AC68">
    <cfRule type="cellIs" dxfId="74" priority="135" operator="greaterThan">
      <formula>0</formula>
    </cfRule>
    <cfRule type="cellIs" dxfId="73" priority="134" operator="lessThan">
      <formula>0</formula>
    </cfRule>
  </conditionalFormatting>
  <conditionalFormatting sqref="AC188">
    <cfRule type="cellIs" dxfId="72" priority="20" operator="greaterThan">
      <formula>0</formula>
    </cfRule>
    <cfRule type="cellIs" dxfId="71" priority="19" operator="lessThan">
      <formula>0</formula>
    </cfRule>
  </conditionalFormatting>
  <conditionalFormatting sqref="AC9:AE9">
    <cfRule type="cellIs" dxfId="70" priority="97" operator="lessThan">
      <formula>-1821</formula>
    </cfRule>
  </conditionalFormatting>
  <conditionalFormatting sqref="AC9:AE10">
    <cfRule type="cellIs" dxfId="69" priority="95" operator="lessThan">
      <formula>0</formula>
    </cfRule>
  </conditionalFormatting>
  <conditionalFormatting sqref="AC36:AE36 AC38:AE38">
    <cfRule type="cellIs" dxfId="68" priority="78" operator="lessThan">
      <formula>-1821</formula>
    </cfRule>
  </conditionalFormatting>
  <conditionalFormatting sqref="AC36:AE39">
    <cfRule type="cellIs" dxfId="67" priority="76" operator="lessThan">
      <formula>0</formula>
    </cfRule>
  </conditionalFormatting>
  <conditionalFormatting sqref="AC66:AE66">
    <cfRule type="cellIs" dxfId="66" priority="59" operator="lessThan">
      <formula>-1821</formula>
    </cfRule>
  </conditionalFormatting>
  <conditionalFormatting sqref="AC66:AE67">
    <cfRule type="cellIs" dxfId="65" priority="58" operator="lessThan">
      <formula>0</formula>
    </cfRule>
  </conditionalFormatting>
  <conditionalFormatting sqref="AC126:AE126">
    <cfRule type="cellIs" dxfId="64" priority="43" operator="lessThan">
      <formula>-1821</formula>
    </cfRule>
  </conditionalFormatting>
  <conditionalFormatting sqref="AC126:AE127">
    <cfRule type="cellIs" dxfId="63" priority="42" operator="lessThan">
      <formula>0</formula>
    </cfRule>
  </conditionalFormatting>
  <conditionalFormatting sqref="AC157:AE157">
    <cfRule type="cellIs" dxfId="62" priority="27" operator="lessThan">
      <formula>-1821</formula>
    </cfRule>
  </conditionalFormatting>
  <conditionalFormatting sqref="AC157:AE158">
    <cfRule type="cellIs" dxfId="61" priority="26" operator="lessThan">
      <formula>0</formula>
    </cfRule>
  </conditionalFormatting>
  <conditionalFormatting sqref="AC186:AE186">
    <cfRule type="cellIs" dxfId="60" priority="6" operator="lessThan">
      <formula>-1821</formula>
    </cfRule>
  </conditionalFormatting>
  <conditionalFormatting sqref="AC186:AE187">
    <cfRule type="cellIs" dxfId="59" priority="5" operator="lessThan">
      <formula>0</formula>
    </cfRule>
  </conditionalFormatting>
  <conditionalFormatting sqref="AI9:AI10">
    <cfRule type="cellIs" dxfId="58" priority="169" operator="greaterThan">
      <formula>0</formula>
    </cfRule>
    <cfRule type="cellIs" dxfId="57" priority="168" operator="lessThan">
      <formula>0</formula>
    </cfRule>
  </conditionalFormatting>
  <conditionalFormatting sqref="AI36:AI39">
    <cfRule type="cellIs" dxfId="56" priority="84" operator="greaterThan">
      <formula>0</formula>
    </cfRule>
    <cfRule type="cellIs" dxfId="55" priority="83" operator="lessThan">
      <formula>0</formula>
    </cfRule>
  </conditionalFormatting>
  <conditionalFormatting sqref="AI66:AI67">
    <cfRule type="cellIs" dxfId="54" priority="65" operator="greaterThan">
      <formula>0</formula>
    </cfRule>
    <cfRule type="cellIs" dxfId="53" priority="64" operator="lessThan">
      <formula>0</formula>
    </cfRule>
  </conditionalFormatting>
  <conditionalFormatting sqref="AI96 Z96:AB97">
    <cfRule type="cellIs" dxfId="52" priority="105" operator="greaterThan">
      <formula>0</formula>
    </cfRule>
  </conditionalFormatting>
  <conditionalFormatting sqref="AI126:AI127 Z126:Z127">
    <cfRule type="cellIs" dxfId="51" priority="53" operator="greaterThan">
      <formula>0</formula>
    </cfRule>
  </conditionalFormatting>
  <conditionalFormatting sqref="AI126:AI127">
    <cfRule type="cellIs" dxfId="50" priority="48" operator="lessThan">
      <formula>0</formula>
    </cfRule>
    <cfRule type="cellIs" dxfId="49" priority="49" operator="greaterThan">
      <formula>0</formula>
    </cfRule>
  </conditionalFormatting>
  <conditionalFormatting sqref="AI157:AI158 Z157:Z158">
    <cfRule type="cellIs" dxfId="48" priority="37" operator="greaterThan">
      <formula>0</formula>
    </cfRule>
  </conditionalFormatting>
  <conditionalFormatting sqref="AI157:AI158">
    <cfRule type="cellIs" dxfId="47" priority="33" operator="greaterThan">
      <formula>0</formula>
    </cfRule>
    <cfRule type="cellIs" dxfId="46" priority="32" operator="lessThan">
      <formula>0</formula>
    </cfRule>
  </conditionalFormatting>
  <conditionalFormatting sqref="AI186:AI187">
    <cfRule type="cellIs" dxfId="45" priority="11" operator="lessThan">
      <formula>0</formula>
    </cfRule>
    <cfRule type="cellIs" dxfId="44" priority="12" operator="greaterThan">
      <formula>0</formula>
    </cfRule>
  </conditionalFormatting>
  <conditionalFormatting sqref="AI186:AI188 Z186:Z187">
    <cfRule type="cellIs" dxfId="43" priority="21" operator="greaterThan">
      <formula>0</formula>
    </cfRule>
  </conditionalFormatting>
  <conditionalFormatting sqref="AI9:AK10">
    <cfRule type="cellIs" dxfId="42" priority="87" operator="lessThan">
      <formula>0</formula>
    </cfRule>
  </conditionalFormatting>
  <conditionalFormatting sqref="AI36:AK39">
    <cfRule type="cellIs" dxfId="41" priority="68" operator="lessThan">
      <formula>0</formula>
    </cfRule>
  </conditionalFormatting>
  <conditionalFormatting sqref="AI66:AK67">
    <cfRule type="cellIs" dxfId="40" priority="54" operator="lessThan">
      <formula>0</formula>
    </cfRule>
  </conditionalFormatting>
  <conditionalFormatting sqref="AI126:AK127">
    <cfRule type="cellIs" dxfId="39" priority="38" operator="lessThan">
      <formula>0</formula>
    </cfRule>
  </conditionalFormatting>
  <conditionalFormatting sqref="AI157:AK158">
    <cfRule type="cellIs" dxfId="38" priority="22" operator="lessThan">
      <formula>0</formula>
    </cfRule>
  </conditionalFormatting>
  <conditionalFormatting sqref="AI186:AK187">
    <cfRule type="cellIs" dxfId="37" priority="1" operator="lessThan">
      <formula>0</formula>
    </cfRule>
  </conditionalFormatting>
  <conditionalFormatting sqref="AI9:AN10">
    <cfRule type="cellIs" dxfId="36" priority="91" operator="lessThan">
      <formula>0</formula>
    </cfRule>
  </conditionalFormatting>
  <conditionalFormatting sqref="AI36:AN39">
    <cfRule type="cellIs" dxfId="35" priority="72" operator="lessThan">
      <formula>0</formula>
    </cfRule>
  </conditionalFormatting>
  <conditionalFormatting sqref="AI66:AN67">
    <cfRule type="cellIs" dxfId="34" priority="57" operator="lessThan">
      <formula>0</formula>
    </cfRule>
  </conditionalFormatting>
  <conditionalFormatting sqref="AI126:AN127">
    <cfRule type="cellIs" dxfId="33" priority="41" operator="lessThan">
      <formula>0</formula>
    </cfRule>
  </conditionalFormatting>
  <conditionalFormatting sqref="AI157:AN158">
    <cfRule type="cellIs" dxfId="32" priority="25" operator="lessThan">
      <formula>0</formula>
    </cfRule>
  </conditionalFormatting>
  <conditionalFormatting sqref="AI186:AN187">
    <cfRule type="cellIs" dxfId="31" priority="4" operator="lessThan">
      <formula>0</formula>
    </cfRule>
  </conditionalFormatting>
  <conditionalFormatting sqref="AL9:AL10">
    <cfRule type="cellIs" dxfId="30" priority="102" operator="lessThan">
      <formula>0</formula>
    </cfRule>
    <cfRule type="cellIs" dxfId="29" priority="103" operator="greaterThan">
      <formula>0</formula>
    </cfRule>
  </conditionalFormatting>
  <conditionalFormatting sqref="AL36:AL39 AL66:AL68 AL9:AL11 AL98">
    <cfRule type="cellIs" dxfId="28" priority="101" operator="greaterThan">
      <formula>0</formula>
    </cfRule>
  </conditionalFormatting>
  <conditionalFormatting sqref="AL36:AL39">
    <cfRule type="cellIs" dxfId="27" priority="80" operator="greaterThan">
      <formula>0</formula>
    </cfRule>
    <cfRule type="cellIs" dxfId="26" priority="79" operator="lessThan">
      <formula>0</formula>
    </cfRule>
  </conditionalFormatting>
  <conditionalFormatting sqref="AL66:AL67">
    <cfRule type="cellIs" dxfId="25" priority="61" operator="greaterThan">
      <formula>0</formula>
    </cfRule>
    <cfRule type="cellIs" dxfId="24" priority="60" operator="lessThan">
      <formula>0</formula>
    </cfRule>
  </conditionalFormatting>
  <conditionalFormatting sqref="AL96">
    <cfRule type="cellIs" dxfId="23" priority="99" operator="lessThan">
      <formula>0</formula>
    </cfRule>
    <cfRule type="cellIs" dxfId="22" priority="100" operator="greaterThan">
      <formula>0</formula>
    </cfRule>
    <cfRule type="cellIs" dxfId="21" priority="98" operator="greaterThan">
      <formula>0</formula>
    </cfRule>
  </conditionalFormatting>
  <conditionalFormatting sqref="AL126:AL127">
    <cfRule type="cellIs" dxfId="20" priority="52" operator="greaterThan">
      <formula>0</formula>
    </cfRule>
    <cfRule type="cellIs" dxfId="19" priority="44" operator="lessThan">
      <formula>0</formula>
    </cfRule>
    <cfRule type="cellIs" dxfId="18" priority="45" operator="greaterThan">
      <formula>0</formula>
    </cfRule>
  </conditionalFormatting>
  <conditionalFormatting sqref="AL157:AL158">
    <cfRule type="cellIs" dxfId="17" priority="29" operator="greaterThan">
      <formula>0</formula>
    </cfRule>
    <cfRule type="cellIs" dxfId="16" priority="36" operator="greaterThan">
      <formula>0</formula>
    </cfRule>
    <cfRule type="cellIs" dxfId="15" priority="28" operator="lessThan">
      <formula>0</formula>
    </cfRule>
  </conditionalFormatting>
  <conditionalFormatting sqref="AL186:AL187">
    <cfRule type="cellIs" dxfId="14" priority="8" operator="greaterThan">
      <formula>0</formula>
    </cfRule>
    <cfRule type="cellIs" dxfId="13" priority="7" operator="lessThan">
      <formula>0</formula>
    </cfRule>
  </conditionalFormatting>
  <conditionalFormatting sqref="AL186:AL188">
    <cfRule type="cellIs" dxfId="12" priority="15" operator="greaterThan">
      <formula>0</formula>
    </cfRule>
  </conditionalFormatting>
  <conditionalFormatting sqref="AL9:AN9">
    <cfRule type="cellIs" dxfId="11" priority="90" operator="lessThan">
      <formula>-1688</formula>
    </cfRule>
  </conditionalFormatting>
  <conditionalFormatting sqref="AL10:AN10">
    <cfRule type="cellIs" dxfId="10" priority="89" operator="lessThan">
      <formula>0</formula>
    </cfRule>
  </conditionalFormatting>
  <conditionalFormatting sqref="AL36:AN36 AL38:AN38">
    <cfRule type="cellIs" dxfId="9" priority="71" operator="lessThan">
      <formula>-1688</formula>
    </cfRule>
  </conditionalFormatting>
  <conditionalFormatting sqref="AL37:AN37 AL39:AN39">
    <cfRule type="cellIs" dxfId="8" priority="70" operator="lessThan">
      <formula>0</formula>
    </cfRule>
  </conditionalFormatting>
  <conditionalFormatting sqref="AL66:AN66">
    <cfRule type="cellIs" dxfId="7" priority="56" operator="lessThan">
      <formula>-1688</formula>
    </cfRule>
  </conditionalFormatting>
  <conditionalFormatting sqref="AL67:AN67">
    <cfRule type="cellIs" dxfId="6" priority="55" operator="lessThan">
      <formula>0</formula>
    </cfRule>
  </conditionalFormatting>
  <conditionalFormatting sqref="AL126:AN126">
    <cfRule type="cellIs" dxfId="5" priority="40" operator="lessThan">
      <formula>-1688</formula>
    </cfRule>
  </conditionalFormatting>
  <conditionalFormatting sqref="AL127:AN127">
    <cfRule type="cellIs" dxfId="4" priority="39" operator="lessThan">
      <formula>0</formula>
    </cfRule>
  </conditionalFormatting>
  <conditionalFormatting sqref="AL157:AN157">
    <cfRule type="cellIs" dxfId="3" priority="24" operator="lessThan">
      <formula>-1688</formula>
    </cfRule>
  </conditionalFormatting>
  <conditionalFormatting sqref="AL158:AN158">
    <cfRule type="cellIs" dxfId="2" priority="23" operator="lessThan">
      <formula>0</formula>
    </cfRule>
  </conditionalFormatting>
  <conditionalFormatting sqref="AL186:AN186">
    <cfRule type="cellIs" dxfId="1" priority="3" operator="lessThan">
      <formula>-1688</formula>
    </cfRule>
  </conditionalFormatting>
  <conditionalFormatting sqref="AL187:AN187">
    <cfRule type="cellIs" dxfId="0" priority="2" operator="lessThan">
      <formula>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Spinner 1">
              <controlPr defaultSize="0" autoPict="0">
                <anchor moveWithCells="1" sizeWithCells="1">
                  <from>
                    <xdr:col>6</xdr:col>
                    <xdr:colOff>95250</xdr:colOff>
                    <xdr:row>4</xdr:row>
                    <xdr:rowOff>38100</xdr:rowOff>
                  </from>
                  <to>
                    <xdr:col>6</xdr:col>
                    <xdr:colOff>914400</xdr:colOff>
                    <xdr:row>4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Spinner 2">
              <controlPr defaultSize="0" autoPict="0">
                <anchor moveWithCells="1" sizeWithCells="1">
                  <from>
                    <xdr:col>6</xdr:col>
                    <xdr:colOff>95250</xdr:colOff>
                    <xdr:row>5</xdr:row>
                    <xdr:rowOff>38100</xdr:rowOff>
                  </from>
                  <to>
                    <xdr:col>6</xdr:col>
                    <xdr:colOff>914400</xdr:colOff>
                    <xdr:row>5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Spinner 3">
              <controlPr defaultSize="0" autoPict="0">
                <anchor moveWithCells="1" sizeWithCells="1">
                  <from>
                    <xdr:col>6</xdr:col>
                    <xdr:colOff>95250</xdr:colOff>
                    <xdr:row>6</xdr:row>
                    <xdr:rowOff>38100</xdr:rowOff>
                  </from>
                  <to>
                    <xdr:col>6</xdr:col>
                    <xdr:colOff>914400</xdr:colOff>
                    <xdr:row>6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Spinner 4">
              <controlPr defaultSize="0" autoPict="0">
                <anchor moveWithCells="1" sizeWithCells="1">
                  <from>
                    <xdr:col>6</xdr:col>
                    <xdr:colOff>95250</xdr:colOff>
                    <xdr:row>7</xdr:row>
                    <xdr:rowOff>38100</xdr:rowOff>
                  </from>
                  <to>
                    <xdr:col>6</xdr:col>
                    <xdr:colOff>914400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Spinner 6">
              <controlPr defaultSize="0" autoPict="0">
                <anchor moveWithCells="1" sizeWithCells="1">
                  <from>
                    <xdr:col>6</xdr:col>
                    <xdr:colOff>95250</xdr:colOff>
                    <xdr:row>8</xdr:row>
                    <xdr:rowOff>19050</xdr:rowOff>
                  </from>
                  <to>
                    <xdr:col>6</xdr:col>
                    <xdr:colOff>914400</xdr:colOff>
                    <xdr:row>8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8" name="Spinner 8">
              <controlPr defaultSize="0" autoPict="0">
                <anchor moveWithCells="1" sizeWithCells="1">
                  <from>
                    <xdr:col>6</xdr:col>
                    <xdr:colOff>95250</xdr:colOff>
                    <xdr:row>9</xdr:row>
                    <xdr:rowOff>38100</xdr:rowOff>
                  </from>
                  <to>
                    <xdr:col>6</xdr:col>
                    <xdr:colOff>914400</xdr:colOff>
                    <xdr:row>9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9" name="Spinner 10">
              <controlPr defaultSize="0" autoPict="0">
                <anchor moveWithCells="1" sizeWithCells="1">
                  <from>
                    <xdr:col>6</xdr:col>
                    <xdr:colOff>95250</xdr:colOff>
                    <xdr:row>10</xdr:row>
                    <xdr:rowOff>38100</xdr:rowOff>
                  </from>
                  <to>
                    <xdr:col>6</xdr:col>
                    <xdr:colOff>914400</xdr:colOff>
                    <xdr:row>10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0" name="Spinner 12">
              <controlPr defaultSize="0" autoPict="0">
                <anchor moveWithCells="1" sizeWithCells="1">
                  <from>
                    <xdr:col>6</xdr:col>
                    <xdr:colOff>95250</xdr:colOff>
                    <xdr:row>11</xdr:row>
                    <xdr:rowOff>38100</xdr:rowOff>
                  </from>
                  <to>
                    <xdr:col>6</xdr:col>
                    <xdr:colOff>914400</xdr:colOff>
                    <xdr:row>11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1" name="Spinner 13">
              <controlPr defaultSize="0" autoPict="0">
                <anchor moveWithCells="1" sizeWithCells="1">
                  <from>
                    <xdr:col>10</xdr:col>
                    <xdr:colOff>95250</xdr:colOff>
                    <xdr:row>4</xdr:row>
                    <xdr:rowOff>38100</xdr:rowOff>
                  </from>
                  <to>
                    <xdr:col>10</xdr:col>
                    <xdr:colOff>914400</xdr:colOff>
                    <xdr:row>4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2" name="Spinner 14">
              <controlPr defaultSize="0" autoPict="0">
                <anchor moveWithCells="1" sizeWithCells="1">
                  <from>
                    <xdr:col>10</xdr:col>
                    <xdr:colOff>95250</xdr:colOff>
                    <xdr:row>5</xdr:row>
                    <xdr:rowOff>38100</xdr:rowOff>
                  </from>
                  <to>
                    <xdr:col>10</xdr:col>
                    <xdr:colOff>914400</xdr:colOff>
                    <xdr:row>5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3" name="Spinner 15">
              <controlPr defaultSize="0" autoPict="0">
                <anchor moveWithCells="1" sizeWithCells="1">
                  <from>
                    <xdr:col>10</xdr:col>
                    <xdr:colOff>95250</xdr:colOff>
                    <xdr:row>6</xdr:row>
                    <xdr:rowOff>38100</xdr:rowOff>
                  </from>
                  <to>
                    <xdr:col>10</xdr:col>
                    <xdr:colOff>914400</xdr:colOff>
                    <xdr:row>6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4" name="Spinner 16">
              <controlPr defaultSize="0" autoPict="0">
                <anchor moveWithCells="1" sizeWithCells="1">
                  <from>
                    <xdr:col>10</xdr:col>
                    <xdr:colOff>95250</xdr:colOff>
                    <xdr:row>7</xdr:row>
                    <xdr:rowOff>38100</xdr:rowOff>
                  </from>
                  <to>
                    <xdr:col>10</xdr:col>
                    <xdr:colOff>914400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5" name="Spinner 17">
              <controlPr defaultSize="0" autoPict="0">
                <anchor moveWithCells="1" sizeWithCells="1">
                  <from>
                    <xdr:col>10</xdr:col>
                    <xdr:colOff>95250</xdr:colOff>
                    <xdr:row>8</xdr:row>
                    <xdr:rowOff>38100</xdr:rowOff>
                  </from>
                  <to>
                    <xdr:col>10</xdr:col>
                    <xdr:colOff>914400</xdr:colOff>
                    <xdr:row>8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6" name="Spinner 18">
              <controlPr defaultSize="0" autoPict="0">
                <anchor moveWithCells="1" sizeWithCells="1">
                  <from>
                    <xdr:col>10</xdr:col>
                    <xdr:colOff>95250</xdr:colOff>
                    <xdr:row>9</xdr:row>
                    <xdr:rowOff>38100</xdr:rowOff>
                  </from>
                  <to>
                    <xdr:col>10</xdr:col>
                    <xdr:colOff>914400</xdr:colOff>
                    <xdr:row>9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17" name="Spinner 19">
              <controlPr defaultSize="0" autoPict="0">
                <anchor moveWithCells="1" sizeWithCells="1">
                  <from>
                    <xdr:col>10</xdr:col>
                    <xdr:colOff>95250</xdr:colOff>
                    <xdr:row>10</xdr:row>
                    <xdr:rowOff>38100</xdr:rowOff>
                  </from>
                  <to>
                    <xdr:col>10</xdr:col>
                    <xdr:colOff>914400</xdr:colOff>
                    <xdr:row>10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18" name="Spinner 20">
              <controlPr defaultSize="0" autoPict="0">
                <anchor moveWithCells="1" sizeWithCells="1">
                  <from>
                    <xdr:col>10</xdr:col>
                    <xdr:colOff>95250</xdr:colOff>
                    <xdr:row>11</xdr:row>
                    <xdr:rowOff>38100</xdr:rowOff>
                  </from>
                  <to>
                    <xdr:col>10</xdr:col>
                    <xdr:colOff>914400</xdr:colOff>
                    <xdr:row>11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19" name="Spinner 21">
              <controlPr defaultSize="0" autoPict="0">
                <anchor moveWithCells="1" sizeWithCells="1">
                  <from>
                    <xdr:col>14</xdr:col>
                    <xdr:colOff>95250</xdr:colOff>
                    <xdr:row>4</xdr:row>
                    <xdr:rowOff>38100</xdr:rowOff>
                  </from>
                  <to>
                    <xdr:col>14</xdr:col>
                    <xdr:colOff>914400</xdr:colOff>
                    <xdr:row>4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0" name="Spinner 22">
              <controlPr defaultSize="0" autoPict="0">
                <anchor moveWithCells="1" sizeWithCells="1">
                  <from>
                    <xdr:col>14</xdr:col>
                    <xdr:colOff>95250</xdr:colOff>
                    <xdr:row>5</xdr:row>
                    <xdr:rowOff>38100</xdr:rowOff>
                  </from>
                  <to>
                    <xdr:col>14</xdr:col>
                    <xdr:colOff>914400</xdr:colOff>
                    <xdr:row>5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1" name="Spinner 23">
              <controlPr defaultSize="0" autoPict="0">
                <anchor moveWithCells="1" sizeWithCells="1">
                  <from>
                    <xdr:col>14</xdr:col>
                    <xdr:colOff>95250</xdr:colOff>
                    <xdr:row>6</xdr:row>
                    <xdr:rowOff>38100</xdr:rowOff>
                  </from>
                  <to>
                    <xdr:col>14</xdr:col>
                    <xdr:colOff>914400</xdr:colOff>
                    <xdr:row>6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2" name="Spinner 24">
              <controlPr defaultSize="0" autoPict="0">
                <anchor moveWithCells="1" sizeWithCells="1">
                  <from>
                    <xdr:col>14</xdr:col>
                    <xdr:colOff>95250</xdr:colOff>
                    <xdr:row>7</xdr:row>
                    <xdr:rowOff>38100</xdr:rowOff>
                  </from>
                  <to>
                    <xdr:col>14</xdr:col>
                    <xdr:colOff>914400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9" r:id="rId23" name="Spinner 25">
              <controlPr defaultSize="0" autoPict="0">
                <anchor moveWithCells="1" sizeWithCells="1">
                  <from>
                    <xdr:col>14</xdr:col>
                    <xdr:colOff>95250</xdr:colOff>
                    <xdr:row>8</xdr:row>
                    <xdr:rowOff>38100</xdr:rowOff>
                  </from>
                  <to>
                    <xdr:col>14</xdr:col>
                    <xdr:colOff>914400</xdr:colOff>
                    <xdr:row>8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4" name="Spinner 26">
              <controlPr defaultSize="0" autoPict="0">
                <anchor moveWithCells="1" sizeWithCells="1">
                  <from>
                    <xdr:col>14</xdr:col>
                    <xdr:colOff>95250</xdr:colOff>
                    <xdr:row>9</xdr:row>
                    <xdr:rowOff>38100</xdr:rowOff>
                  </from>
                  <to>
                    <xdr:col>14</xdr:col>
                    <xdr:colOff>914400</xdr:colOff>
                    <xdr:row>9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5" name="Spinner 27">
              <controlPr defaultSize="0" autoPict="0">
                <anchor moveWithCells="1" sizeWithCells="1">
                  <from>
                    <xdr:col>14</xdr:col>
                    <xdr:colOff>95250</xdr:colOff>
                    <xdr:row>10</xdr:row>
                    <xdr:rowOff>38100</xdr:rowOff>
                  </from>
                  <to>
                    <xdr:col>14</xdr:col>
                    <xdr:colOff>914400</xdr:colOff>
                    <xdr:row>10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6" name="Spinner 28">
              <controlPr defaultSize="0" autoPict="0">
                <anchor moveWithCells="1" sizeWithCells="1">
                  <from>
                    <xdr:col>14</xdr:col>
                    <xdr:colOff>95250</xdr:colOff>
                    <xdr:row>11</xdr:row>
                    <xdr:rowOff>38100</xdr:rowOff>
                  </from>
                  <to>
                    <xdr:col>14</xdr:col>
                    <xdr:colOff>914400</xdr:colOff>
                    <xdr:row>11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9" r:id="rId27" name="Spinner 85">
              <controlPr defaultSize="0" autoPict="0">
                <anchor moveWithCells="1" sizeWithCells="1">
                  <from>
                    <xdr:col>6</xdr:col>
                    <xdr:colOff>38100</xdr:colOff>
                    <xdr:row>31</xdr:row>
                    <xdr:rowOff>19050</xdr:rowOff>
                  </from>
                  <to>
                    <xdr:col>6</xdr:col>
                    <xdr:colOff>476250</xdr:colOff>
                    <xdr:row>31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0" r:id="rId28" name="Spinner 86">
              <controlPr defaultSize="0" autoPict="0">
                <anchor moveWithCells="1" sizeWithCells="1">
                  <from>
                    <xdr:col>6</xdr:col>
                    <xdr:colOff>38100</xdr:colOff>
                    <xdr:row>32</xdr:row>
                    <xdr:rowOff>38100</xdr:rowOff>
                  </from>
                  <to>
                    <xdr:col>6</xdr:col>
                    <xdr:colOff>476250</xdr:colOff>
                    <xdr:row>32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3" r:id="rId29" name="Spinner 89">
              <controlPr defaultSize="0" autoPict="0">
                <anchor moveWithCells="1" sizeWithCells="1">
                  <from>
                    <xdr:col>6</xdr:col>
                    <xdr:colOff>38100</xdr:colOff>
                    <xdr:row>33</xdr:row>
                    <xdr:rowOff>38100</xdr:rowOff>
                  </from>
                  <to>
                    <xdr:col>6</xdr:col>
                    <xdr:colOff>476250</xdr:colOff>
                    <xdr:row>33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4" r:id="rId30" name="Spinner 90">
              <controlPr defaultSize="0" autoPict="0">
                <anchor moveWithCells="1" sizeWithCells="1">
                  <from>
                    <xdr:col>6</xdr:col>
                    <xdr:colOff>38100</xdr:colOff>
                    <xdr:row>34</xdr:row>
                    <xdr:rowOff>38100</xdr:rowOff>
                  </from>
                  <to>
                    <xdr:col>6</xdr:col>
                    <xdr:colOff>476250</xdr:colOff>
                    <xdr:row>34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5" r:id="rId31" name="Spinner 91">
              <controlPr defaultSize="0" autoPict="0">
                <anchor moveWithCells="1" sizeWithCells="1">
                  <from>
                    <xdr:col>6</xdr:col>
                    <xdr:colOff>38100</xdr:colOff>
                    <xdr:row>35</xdr:row>
                    <xdr:rowOff>57150</xdr:rowOff>
                  </from>
                  <to>
                    <xdr:col>6</xdr:col>
                    <xdr:colOff>476250</xdr:colOff>
                    <xdr:row>35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7" r:id="rId32" name="Spinner 93">
              <controlPr defaultSize="0" autoPict="0">
                <anchor moveWithCells="1" sizeWithCells="1">
                  <from>
                    <xdr:col>6</xdr:col>
                    <xdr:colOff>38100</xdr:colOff>
                    <xdr:row>36</xdr:row>
                    <xdr:rowOff>19050</xdr:rowOff>
                  </from>
                  <to>
                    <xdr:col>6</xdr:col>
                    <xdr:colOff>476250</xdr:colOff>
                    <xdr:row>36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8" r:id="rId33" name="Spinner 94">
              <controlPr defaultSize="0" autoPict="0">
                <anchor moveWithCells="1" sizeWithCells="1">
                  <from>
                    <xdr:col>6</xdr:col>
                    <xdr:colOff>38100</xdr:colOff>
                    <xdr:row>37</xdr:row>
                    <xdr:rowOff>19050</xdr:rowOff>
                  </from>
                  <to>
                    <xdr:col>6</xdr:col>
                    <xdr:colOff>476250</xdr:colOff>
                    <xdr:row>37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9" r:id="rId34" name="Spinner 95">
              <controlPr defaultSize="0" autoPict="0">
                <anchor moveWithCells="1" sizeWithCells="1">
                  <from>
                    <xdr:col>6</xdr:col>
                    <xdr:colOff>38100</xdr:colOff>
                    <xdr:row>38</xdr:row>
                    <xdr:rowOff>19050</xdr:rowOff>
                  </from>
                  <to>
                    <xdr:col>6</xdr:col>
                    <xdr:colOff>476250</xdr:colOff>
                    <xdr:row>38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0" r:id="rId35" name="Spinner 96">
              <controlPr defaultSize="0" autoPict="0">
                <anchor moveWithCells="1" sizeWithCells="1">
                  <from>
                    <xdr:col>10</xdr:col>
                    <xdr:colOff>38100</xdr:colOff>
                    <xdr:row>31</xdr:row>
                    <xdr:rowOff>19050</xdr:rowOff>
                  </from>
                  <to>
                    <xdr:col>10</xdr:col>
                    <xdr:colOff>476250</xdr:colOff>
                    <xdr:row>31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1" r:id="rId36" name="Spinner 97">
              <controlPr defaultSize="0" autoPict="0">
                <anchor moveWithCells="1" sizeWithCells="1">
                  <from>
                    <xdr:col>14</xdr:col>
                    <xdr:colOff>38100</xdr:colOff>
                    <xdr:row>31</xdr:row>
                    <xdr:rowOff>19050</xdr:rowOff>
                  </from>
                  <to>
                    <xdr:col>14</xdr:col>
                    <xdr:colOff>476250</xdr:colOff>
                    <xdr:row>31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2" r:id="rId37" name="Spinner 98">
              <controlPr defaultSize="0" autoPict="0">
                <anchor moveWithCells="1" sizeWithCells="1">
                  <from>
                    <xdr:col>10</xdr:col>
                    <xdr:colOff>38100</xdr:colOff>
                    <xdr:row>32</xdr:row>
                    <xdr:rowOff>38100</xdr:rowOff>
                  </from>
                  <to>
                    <xdr:col>10</xdr:col>
                    <xdr:colOff>476250</xdr:colOff>
                    <xdr:row>32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3" r:id="rId38" name="Spinner 99">
              <controlPr defaultSize="0" autoPict="0">
                <anchor moveWithCells="1" sizeWithCells="1">
                  <from>
                    <xdr:col>14</xdr:col>
                    <xdr:colOff>38100</xdr:colOff>
                    <xdr:row>32</xdr:row>
                    <xdr:rowOff>38100</xdr:rowOff>
                  </from>
                  <to>
                    <xdr:col>14</xdr:col>
                    <xdr:colOff>476250</xdr:colOff>
                    <xdr:row>32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4" r:id="rId39" name="Spinner 100">
              <controlPr defaultSize="0" autoPict="0">
                <anchor moveWithCells="1" sizeWithCells="1">
                  <from>
                    <xdr:col>10</xdr:col>
                    <xdr:colOff>38100</xdr:colOff>
                    <xdr:row>33</xdr:row>
                    <xdr:rowOff>38100</xdr:rowOff>
                  </from>
                  <to>
                    <xdr:col>10</xdr:col>
                    <xdr:colOff>476250</xdr:colOff>
                    <xdr:row>33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5" r:id="rId40" name="Spinner 101">
              <controlPr defaultSize="0" autoPict="0">
                <anchor moveWithCells="1" sizeWithCells="1">
                  <from>
                    <xdr:col>10</xdr:col>
                    <xdr:colOff>38100</xdr:colOff>
                    <xdr:row>34</xdr:row>
                    <xdr:rowOff>38100</xdr:rowOff>
                  </from>
                  <to>
                    <xdr:col>10</xdr:col>
                    <xdr:colOff>476250</xdr:colOff>
                    <xdr:row>34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6" r:id="rId41" name="Spinner 102">
              <controlPr defaultSize="0" autoPict="0">
                <anchor moveWithCells="1" sizeWithCells="1">
                  <from>
                    <xdr:col>10</xdr:col>
                    <xdr:colOff>38100</xdr:colOff>
                    <xdr:row>35</xdr:row>
                    <xdr:rowOff>57150</xdr:rowOff>
                  </from>
                  <to>
                    <xdr:col>10</xdr:col>
                    <xdr:colOff>476250</xdr:colOff>
                    <xdr:row>35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7" r:id="rId42" name="Spinner 103">
              <controlPr defaultSize="0" autoPict="0">
                <anchor moveWithCells="1" sizeWithCells="1">
                  <from>
                    <xdr:col>14</xdr:col>
                    <xdr:colOff>38100</xdr:colOff>
                    <xdr:row>33</xdr:row>
                    <xdr:rowOff>38100</xdr:rowOff>
                  </from>
                  <to>
                    <xdr:col>14</xdr:col>
                    <xdr:colOff>476250</xdr:colOff>
                    <xdr:row>33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8" r:id="rId43" name="Spinner 104">
              <controlPr defaultSize="0" autoPict="0">
                <anchor moveWithCells="1" sizeWithCells="1">
                  <from>
                    <xdr:col>14</xdr:col>
                    <xdr:colOff>38100</xdr:colOff>
                    <xdr:row>34</xdr:row>
                    <xdr:rowOff>38100</xdr:rowOff>
                  </from>
                  <to>
                    <xdr:col>14</xdr:col>
                    <xdr:colOff>476250</xdr:colOff>
                    <xdr:row>34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9" r:id="rId44" name="Spinner 105">
              <controlPr defaultSize="0" autoPict="0">
                <anchor moveWithCells="1" sizeWithCells="1">
                  <from>
                    <xdr:col>14</xdr:col>
                    <xdr:colOff>38100</xdr:colOff>
                    <xdr:row>35</xdr:row>
                    <xdr:rowOff>57150</xdr:rowOff>
                  </from>
                  <to>
                    <xdr:col>14</xdr:col>
                    <xdr:colOff>476250</xdr:colOff>
                    <xdr:row>35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0" r:id="rId45" name="Spinner 106">
              <controlPr defaultSize="0" autoPict="0">
                <anchor moveWithCells="1" sizeWithCells="1">
                  <from>
                    <xdr:col>10</xdr:col>
                    <xdr:colOff>38100</xdr:colOff>
                    <xdr:row>36</xdr:row>
                    <xdr:rowOff>19050</xdr:rowOff>
                  </from>
                  <to>
                    <xdr:col>10</xdr:col>
                    <xdr:colOff>476250</xdr:colOff>
                    <xdr:row>36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1" r:id="rId46" name="Spinner 107">
              <controlPr defaultSize="0" autoPict="0">
                <anchor moveWithCells="1" sizeWithCells="1">
                  <from>
                    <xdr:col>10</xdr:col>
                    <xdr:colOff>38100</xdr:colOff>
                    <xdr:row>37</xdr:row>
                    <xdr:rowOff>19050</xdr:rowOff>
                  </from>
                  <to>
                    <xdr:col>10</xdr:col>
                    <xdr:colOff>476250</xdr:colOff>
                    <xdr:row>37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2" r:id="rId47" name="Spinner 108">
              <controlPr defaultSize="0" autoPict="0">
                <anchor moveWithCells="1" sizeWithCells="1">
                  <from>
                    <xdr:col>10</xdr:col>
                    <xdr:colOff>38100</xdr:colOff>
                    <xdr:row>38</xdr:row>
                    <xdr:rowOff>19050</xdr:rowOff>
                  </from>
                  <to>
                    <xdr:col>10</xdr:col>
                    <xdr:colOff>476250</xdr:colOff>
                    <xdr:row>38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3" r:id="rId48" name="Spinner 109">
              <controlPr defaultSize="0" autoPict="0">
                <anchor moveWithCells="1" sizeWithCells="1">
                  <from>
                    <xdr:col>14</xdr:col>
                    <xdr:colOff>38100</xdr:colOff>
                    <xdr:row>36</xdr:row>
                    <xdr:rowOff>19050</xdr:rowOff>
                  </from>
                  <to>
                    <xdr:col>14</xdr:col>
                    <xdr:colOff>476250</xdr:colOff>
                    <xdr:row>36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4" r:id="rId49" name="Spinner 110">
              <controlPr defaultSize="0" autoPict="0">
                <anchor moveWithCells="1" sizeWithCells="1">
                  <from>
                    <xdr:col>14</xdr:col>
                    <xdr:colOff>38100</xdr:colOff>
                    <xdr:row>37</xdr:row>
                    <xdr:rowOff>19050</xdr:rowOff>
                  </from>
                  <to>
                    <xdr:col>14</xdr:col>
                    <xdr:colOff>476250</xdr:colOff>
                    <xdr:row>37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5" r:id="rId50" name="Spinner 111">
              <controlPr defaultSize="0" autoPict="0">
                <anchor moveWithCells="1" sizeWithCells="1">
                  <from>
                    <xdr:col>14</xdr:col>
                    <xdr:colOff>38100</xdr:colOff>
                    <xdr:row>38</xdr:row>
                    <xdr:rowOff>19050</xdr:rowOff>
                  </from>
                  <to>
                    <xdr:col>14</xdr:col>
                    <xdr:colOff>476250</xdr:colOff>
                    <xdr:row>38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6" r:id="rId51" name="Spinner 112">
              <controlPr defaultSize="0" autoPict="0">
                <anchor moveWithCells="1" sizeWithCells="1">
                  <from>
                    <xdr:col>6</xdr:col>
                    <xdr:colOff>38100</xdr:colOff>
                    <xdr:row>68</xdr:row>
                    <xdr:rowOff>19050</xdr:rowOff>
                  </from>
                  <to>
                    <xdr:col>6</xdr:col>
                    <xdr:colOff>438150</xdr:colOff>
                    <xdr:row>68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7" r:id="rId52" name="Spinner 113">
              <controlPr defaultSize="0" autoPict="0">
                <anchor moveWithCells="1" sizeWithCells="1">
                  <from>
                    <xdr:col>6</xdr:col>
                    <xdr:colOff>38100</xdr:colOff>
                    <xdr:row>67</xdr:row>
                    <xdr:rowOff>19050</xdr:rowOff>
                  </from>
                  <to>
                    <xdr:col>6</xdr:col>
                    <xdr:colOff>419100</xdr:colOff>
                    <xdr:row>67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8" r:id="rId53" name="Spinner 114">
              <controlPr defaultSize="0" autoPict="0">
                <anchor moveWithCells="1" sizeWithCells="1">
                  <from>
                    <xdr:col>6</xdr:col>
                    <xdr:colOff>38100</xdr:colOff>
                    <xdr:row>66</xdr:row>
                    <xdr:rowOff>19050</xdr:rowOff>
                  </from>
                  <to>
                    <xdr:col>6</xdr:col>
                    <xdr:colOff>438150</xdr:colOff>
                    <xdr:row>66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0" r:id="rId54" name="Spinner 116">
              <controlPr defaultSize="0" autoPict="0">
                <anchor moveWithCells="1" sizeWithCells="1">
                  <from>
                    <xdr:col>6</xdr:col>
                    <xdr:colOff>38100</xdr:colOff>
                    <xdr:row>65</xdr:row>
                    <xdr:rowOff>19050</xdr:rowOff>
                  </from>
                  <to>
                    <xdr:col>6</xdr:col>
                    <xdr:colOff>438150</xdr:colOff>
                    <xdr:row>65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1" r:id="rId55" name="Spinner 117">
              <controlPr defaultSize="0" autoPict="0">
                <anchor moveWithCells="1" sizeWithCells="1">
                  <from>
                    <xdr:col>6</xdr:col>
                    <xdr:colOff>38100</xdr:colOff>
                    <xdr:row>64</xdr:row>
                    <xdr:rowOff>19050</xdr:rowOff>
                  </from>
                  <to>
                    <xdr:col>6</xdr:col>
                    <xdr:colOff>438150</xdr:colOff>
                    <xdr:row>64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2" r:id="rId56" name="Spinner 118">
              <controlPr defaultSize="0" autoPict="0">
                <anchor moveWithCells="1" sizeWithCells="1">
                  <from>
                    <xdr:col>6</xdr:col>
                    <xdr:colOff>38100</xdr:colOff>
                    <xdr:row>63</xdr:row>
                    <xdr:rowOff>19050</xdr:rowOff>
                  </from>
                  <to>
                    <xdr:col>6</xdr:col>
                    <xdr:colOff>419100</xdr:colOff>
                    <xdr:row>63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3" r:id="rId57" name="Spinner 119">
              <controlPr defaultSize="0" autoPict="0">
                <anchor moveWithCells="1" sizeWithCells="1">
                  <from>
                    <xdr:col>6</xdr:col>
                    <xdr:colOff>38100</xdr:colOff>
                    <xdr:row>62</xdr:row>
                    <xdr:rowOff>19050</xdr:rowOff>
                  </from>
                  <to>
                    <xdr:col>6</xdr:col>
                    <xdr:colOff>438150</xdr:colOff>
                    <xdr:row>62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4" r:id="rId58" name="Spinner 120">
              <controlPr defaultSize="0" autoPict="0">
                <anchor moveWithCells="1" sizeWithCells="1">
                  <from>
                    <xdr:col>6</xdr:col>
                    <xdr:colOff>38100</xdr:colOff>
                    <xdr:row>61</xdr:row>
                    <xdr:rowOff>19050</xdr:rowOff>
                  </from>
                  <to>
                    <xdr:col>6</xdr:col>
                    <xdr:colOff>438150</xdr:colOff>
                    <xdr:row>61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5" r:id="rId59" name="Spinner 121">
              <controlPr defaultSize="0" autoPict="0">
                <anchor moveWithCells="1" sizeWithCells="1">
                  <from>
                    <xdr:col>10</xdr:col>
                    <xdr:colOff>38100</xdr:colOff>
                    <xdr:row>68</xdr:row>
                    <xdr:rowOff>19050</xdr:rowOff>
                  </from>
                  <to>
                    <xdr:col>10</xdr:col>
                    <xdr:colOff>438150</xdr:colOff>
                    <xdr:row>68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6" r:id="rId60" name="Spinner 122">
              <controlPr defaultSize="0" autoPict="0">
                <anchor moveWithCells="1" sizeWithCells="1">
                  <from>
                    <xdr:col>10</xdr:col>
                    <xdr:colOff>57150</xdr:colOff>
                    <xdr:row>67</xdr:row>
                    <xdr:rowOff>19050</xdr:rowOff>
                  </from>
                  <to>
                    <xdr:col>10</xdr:col>
                    <xdr:colOff>438150</xdr:colOff>
                    <xdr:row>67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7" r:id="rId61" name="Spinner 123">
              <controlPr defaultSize="0" autoPict="0">
                <anchor moveWithCells="1" sizeWithCells="1">
                  <from>
                    <xdr:col>10</xdr:col>
                    <xdr:colOff>57150</xdr:colOff>
                    <xdr:row>66</xdr:row>
                    <xdr:rowOff>19050</xdr:rowOff>
                  </from>
                  <to>
                    <xdr:col>10</xdr:col>
                    <xdr:colOff>438150</xdr:colOff>
                    <xdr:row>66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8" r:id="rId62" name="Spinner 124">
              <controlPr defaultSize="0" autoPict="0">
                <anchor moveWithCells="1" sizeWithCells="1">
                  <from>
                    <xdr:col>10</xdr:col>
                    <xdr:colOff>57150</xdr:colOff>
                    <xdr:row>65</xdr:row>
                    <xdr:rowOff>19050</xdr:rowOff>
                  </from>
                  <to>
                    <xdr:col>10</xdr:col>
                    <xdr:colOff>438150</xdr:colOff>
                    <xdr:row>65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9" r:id="rId63" name="Spinner 125">
              <controlPr defaultSize="0" autoPict="0">
                <anchor moveWithCells="1" sizeWithCells="1">
                  <from>
                    <xdr:col>10</xdr:col>
                    <xdr:colOff>57150</xdr:colOff>
                    <xdr:row>64</xdr:row>
                    <xdr:rowOff>19050</xdr:rowOff>
                  </from>
                  <to>
                    <xdr:col>10</xdr:col>
                    <xdr:colOff>438150</xdr:colOff>
                    <xdr:row>64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0" r:id="rId64" name="Spinner 126">
              <controlPr defaultSize="0" autoPict="0">
                <anchor moveWithCells="1" sizeWithCells="1">
                  <from>
                    <xdr:col>10</xdr:col>
                    <xdr:colOff>57150</xdr:colOff>
                    <xdr:row>63</xdr:row>
                    <xdr:rowOff>19050</xdr:rowOff>
                  </from>
                  <to>
                    <xdr:col>10</xdr:col>
                    <xdr:colOff>438150</xdr:colOff>
                    <xdr:row>63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1" r:id="rId65" name="Spinner 127">
              <controlPr defaultSize="0" autoPict="0">
                <anchor moveWithCells="1" sizeWithCells="1">
                  <from>
                    <xdr:col>10</xdr:col>
                    <xdr:colOff>57150</xdr:colOff>
                    <xdr:row>62</xdr:row>
                    <xdr:rowOff>19050</xdr:rowOff>
                  </from>
                  <to>
                    <xdr:col>10</xdr:col>
                    <xdr:colOff>438150</xdr:colOff>
                    <xdr:row>62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2" r:id="rId66" name="Spinner 128">
              <controlPr defaultSize="0" autoPict="0">
                <anchor moveWithCells="1" sizeWithCells="1">
                  <from>
                    <xdr:col>10</xdr:col>
                    <xdr:colOff>57150</xdr:colOff>
                    <xdr:row>61</xdr:row>
                    <xdr:rowOff>19050</xdr:rowOff>
                  </from>
                  <to>
                    <xdr:col>10</xdr:col>
                    <xdr:colOff>457200</xdr:colOff>
                    <xdr:row>61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3" r:id="rId67" name="Spinner 129">
              <controlPr defaultSize="0" autoPict="0">
                <anchor moveWithCells="1" sizeWithCells="1">
                  <from>
                    <xdr:col>14</xdr:col>
                    <xdr:colOff>38100</xdr:colOff>
                    <xdr:row>68</xdr:row>
                    <xdr:rowOff>19050</xdr:rowOff>
                  </from>
                  <to>
                    <xdr:col>14</xdr:col>
                    <xdr:colOff>438150</xdr:colOff>
                    <xdr:row>68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4" r:id="rId68" name="Spinner 130">
              <controlPr defaultSize="0" autoPict="0">
                <anchor moveWithCells="1" sizeWithCells="1">
                  <from>
                    <xdr:col>14</xdr:col>
                    <xdr:colOff>57150</xdr:colOff>
                    <xdr:row>67</xdr:row>
                    <xdr:rowOff>19050</xdr:rowOff>
                  </from>
                  <to>
                    <xdr:col>14</xdr:col>
                    <xdr:colOff>438150</xdr:colOff>
                    <xdr:row>67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5" r:id="rId69" name="Spinner 131">
              <controlPr defaultSize="0" autoPict="0">
                <anchor moveWithCells="1" sizeWithCells="1">
                  <from>
                    <xdr:col>14</xdr:col>
                    <xdr:colOff>57150</xdr:colOff>
                    <xdr:row>66</xdr:row>
                    <xdr:rowOff>19050</xdr:rowOff>
                  </from>
                  <to>
                    <xdr:col>14</xdr:col>
                    <xdr:colOff>438150</xdr:colOff>
                    <xdr:row>66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6" r:id="rId70" name="Spinner 132">
              <controlPr defaultSize="0" autoPict="0">
                <anchor moveWithCells="1" sizeWithCells="1">
                  <from>
                    <xdr:col>14</xdr:col>
                    <xdr:colOff>57150</xdr:colOff>
                    <xdr:row>65</xdr:row>
                    <xdr:rowOff>19050</xdr:rowOff>
                  </from>
                  <to>
                    <xdr:col>14</xdr:col>
                    <xdr:colOff>438150</xdr:colOff>
                    <xdr:row>65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7" r:id="rId71" name="Spinner 133">
              <controlPr defaultSize="0" autoPict="0">
                <anchor moveWithCells="1" sizeWithCells="1">
                  <from>
                    <xdr:col>14</xdr:col>
                    <xdr:colOff>57150</xdr:colOff>
                    <xdr:row>64</xdr:row>
                    <xdr:rowOff>19050</xdr:rowOff>
                  </from>
                  <to>
                    <xdr:col>14</xdr:col>
                    <xdr:colOff>438150</xdr:colOff>
                    <xdr:row>64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8" r:id="rId72" name="Spinner 134">
              <controlPr defaultSize="0" autoPict="0">
                <anchor moveWithCells="1" sizeWithCells="1">
                  <from>
                    <xdr:col>14</xdr:col>
                    <xdr:colOff>57150</xdr:colOff>
                    <xdr:row>63</xdr:row>
                    <xdr:rowOff>19050</xdr:rowOff>
                  </from>
                  <to>
                    <xdr:col>14</xdr:col>
                    <xdr:colOff>438150</xdr:colOff>
                    <xdr:row>63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9" r:id="rId73" name="Spinner 135">
              <controlPr defaultSize="0" autoPict="0">
                <anchor moveWithCells="1" sizeWithCells="1">
                  <from>
                    <xdr:col>14</xdr:col>
                    <xdr:colOff>57150</xdr:colOff>
                    <xdr:row>62</xdr:row>
                    <xdr:rowOff>19050</xdr:rowOff>
                  </from>
                  <to>
                    <xdr:col>14</xdr:col>
                    <xdr:colOff>438150</xdr:colOff>
                    <xdr:row>62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0" r:id="rId74" name="Spinner 136">
              <controlPr defaultSize="0" autoPict="0">
                <anchor moveWithCells="1" sizeWithCells="1">
                  <from>
                    <xdr:col>14</xdr:col>
                    <xdr:colOff>57150</xdr:colOff>
                    <xdr:row>61</xdr:row>
                    <xdr:rowOff>19050</xdr:rowOff>
                  </from>
                  <to>
                    <xdr:col>14</xdr:col>
                    <xdr:colOff>457200</xdr:colOff>
                    <xdr:row>61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1" r:id="rId75" name="Spinner 137">
              <controlPr defaultSize="0" autoPict="0">
                <anchor moveWithCells="1" sizeWithCells="1">
                  <from>
                    <xdr:col>6</xdr:col>
                    <xdr:colOff>19050</xdr:colOff>
                    <xdr:row>91</xdr:row>
                    <xdr:rowOff>19050</xdr:rowOff>
                  </from>
                  <to>
                    <xdr:col>6</xdr:col>
                    <xdr:colOff>438150</xdr:colOff>
                    <xdr:row>91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2" r:id="rId76" name="Spinner 138">
              <controlPr defaultSize="0" autoPict="0">
                <anchor moveWithCells="1" sizeWithCells="1">
                  <from>
                    <xdr:col>6</xdr:col>
                    <xdr:colOff>28575</xdr:colOff>
                    <xdr:row>92</xdr:row>
                    <xdr:rowOff>28575</xdr:rowOff>
                  </from>
                  <to>
                    <xdr:col>6</xdr:col>
                    <xdr:colOff>447675</xdr:colOff>
                    <xdr:row>92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3" r:id="rId77" name="Spinner 139">
              <controlPr defaultSize="0" autoPict="0">
                <anchor moveWithCells="1" sizeWithCells="1">
                  <from>
                    <xdr:col>6</xdr:col>
                    <xdr:colOff>38100</xdr:colOff>
                    <xdr:row>93</xdr:row>
                    <xdr:rowOff>57150</xdr:rowOff>
                  </from>
                  <to>
                    <xdr:col>6</xdr:col>
                    <xdr:colOff>457200</xdr:colOff>
                    <xdr:row>93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4" r:id="rId78" name="Spinner 140">
              <controlPr defaultSize="0" autoPict="0">
                <anchor moveWithCells="1" sizeWithCells="1">
                  <from>
                    <xdr:col>6</xdr:col>
                    <xdr:colOff>38100</xdr:colOff>
                    <xdr:row>94</xdr:row>
                    <xdr:rowOff>57150</xdr:rowOff>
                  </from>
                  <to>
                    <xdr:col>6</xdr:col>
                    <xdr:colOff>457200</xdr:colOff>
                    <xdr:row>94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6" r:id="rId79" name="Spinner 142">
              <controlPr defaultSize="0" autoPict="0">
                <anchor moveWithCells="1" sizeWithCells="1">
                  <from>
                    <xdr:col>6</xdr:col>
                    <xdr:colOff>38100</xdr:colOff>
                    <xdr:row>95</xdr:row>
                    <xdr:rowOff>57150</xdr:rowOff>
                  </from>
                  <to>
                    <xdr:col>6</xdr:col>
                    <xdr:colOff>457200</xdr:colOff>
                    <xdr:row>95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7" r:id="rId80" name="Spinner 143">
              <controlPr defaultSize="0" autoPict="0">
                <anchor moveWithCells="1" sizeWithCells="1">
                  <from>
                    <xdr:col>6</xdr:col>
                    <xdr:colOff>38100</xdr:colOff>
                    <xdr:row>96</xdr:row>
                    <xdr:rowOff>57150</xdr:rowOff>
                  </from>
                  <to>
                    <xdr:col>6</xdr:col>
                    <xdr:colOff>457200</xdr:colOff>
                    <xdr:row>96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8" r:id="rId81" name="Spinner 144">
              <controlPr defaultSize="0" autoPict="0">
                <anchor moveWithCells="1" sizeWithCells="1">
                  <from>
                    <xdr:col>6</xdr:col>
                    <xdr:colOff>38100</xdr:colOff>
                    <xdr:row>97</xdr:row>
                    <xdr:rowOff>19050</xdr:rowOff>
                  </from>
                  <to>
                    <xdr:col>6</xdr:col>
                    <xdr:colOff>457200</xdr:colOff>
                    <xdr:row>97</xdr:row>
                    <xdr:rowOff>771525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9" r:id="rId82" name="Spinner 145">
              <controlPr defaultSize="0" autoPict="0">
                <anchor moveWithCells="1" sizeWithCells="1">
                  <from>
                    <xdr:col>6</xdr:col>
                    <xdr:colOff>19050</xdr:colOff>
                    <xdr:row>98</xdr:row>
                    <xdr:rowOff>19050</xdr:rowOff>
                  </from>
                  <to>
                    <xdr:col>6</xdr:col>
                    <xdr:colOff>438150</xdr:colOff>
                    <xdr:row>98</xdr:row>
                    <xdr:rowOff>809625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0" r:id="rId83" name="Spinner 146">
              <controlPr defaultSize="0" autoPict="0">
                <anchor moveWithCells="1" sizeWithCells="1">
                  <from>
                    <xdr:col>10</xdr:col>
                    <xdr:colOff>38100</xdr:colOff>
                    <xdr:row>91</xdr:row>
                    <xdr:rowOff>57150</xdr:rowOff>
                  </from>
                  <to>
                    <xdr:col>10</xdr:col>
                    <xdr:colOff>457200</xdr:colOff>
                    <xdr:row>91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1" r:id="rId84" name="Spinner 147">
              <controlPr defaultSize="0" autoPict="0">
                <anchor moveWithCells="1" sizeWithCells="1">
                  <from>
                    <xdr:col>10</xdr:col>
                    <xdr:colOff>38100</xdr:colOff>
                    <xdr:row>92</xdr:row>
                    <xdr:rowOff>57150</xdr:rowOff>
                  </from>
                  <to>
                    <xdr:col>10</xdr:col>
                    <xdr:colOff>457200</xdr:colOff>
                    <xdr:row>92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2" r:id="rId85" name="Spinner 148">
              <controlPr defaultSize="0" autoPict="0">
                <anchor moveWithCells="1" sizeWithCells="1">
                  <from>
                    <xdr:col>10</xdr:col>
                    <xdr:colOff>38100</xdr:colOff>
                    <xdr:row>93</xdr:row>
                    <xdr:rowOff>57150</xdr:rowOff>
                  </from>
                  <to>
                    <xdr:col>10</xdr:col>
                    <xdr:colOff>457200</xdr:colOff>
                    <xdr:row>93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3" r:id="rId86" name="Spinner 149">
              <controlPr defaultSize="0" autoPict="0">
                <anchor moveWithCells="1" sizeWithCells="1">
                  <from>
                    <xdr:col>10</xdr:col>
                    <xdr:colOff>38100</xdr:colOff>
                    <xdr:row>94</xdr:row>
                    <xdr:rowOff>57150</xdr:rowOff>
                  </from>
                  <to>
                    <xdr:col>10</xdr:col>
                    <xdr:colOff>457200</xdr:colOff>
                    <xdr:row>94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4" r:id="rId87" name="Spinner 150">
              <controlPr defaultSize="0" autoPict="0">
                <anchor moveWithCells="1" sizeWithCells="1">
                  <from>
                    <xdr:col>10</xdr:col>
                    <xdr:colOff>38100</xdr:colOff>
                    <xdr:row>95</xdr:row>
                    <xdr:rowOff>57150</xdr:rowOff>
                  </from>
                  <to>
                    <xdr:col>10</xdr:col>
                    <xdr:colOff>457200</xdr:colOff>
                    <xdr:row>95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5" r:id="rId88" name="Spinner 151">
              <controlPr defaultSize="0" autoPict="0">
                <anchor moveWithCells="1" sizeWithCells="1">
                  <from>
                    <xdr:col>10</xdr:col>
                    <xdr:colOff>38100</xdr:colOff>
                    <xdr:row>96</xdr:row>
                    <xdr:rowOff>57150</xdr:rowOff>
                  </from>
                  <to>
                    <xdr:col>10</xdr:col>
                    <xdr:colOff>457200</xdr:colOff>
                    <xdr:row>96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6" r:id="rId89" name="Spinner 152">
              <controlPr defaultSize="0" autoPict="0">
                <anchor moveWithCells="1" sizeWithCells="1">
                  <from>
                    <xdr:col>10</xdr:col>
                    <xdr:colOff>38100</xdr:colOff>
                    <xdr:row>97</xdr:row>
                    <xdr:rowOff>57150</xdr:rowOff>
                  </from>
                  <to>
                    <xdr:col>10</xdr:col>
                    <xdr:colOff>457200</xdr:colOff>
                    <xdr:row>97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8" r:id="rId90" name="Spinner 154">
              <controlPr defaultSize="0" autoPict="0">
                <anchor moveWithCells="1" sizeWithCells="1">
                  <from>
                    <xdr:col>10</xdr:col>
                    <xdr:colOff>38100</xdr:colOff>
                    <xdr:row>98</xdr:row>
                    <xdr:rowOff>57150</xdr:rowOff>
                  </from>
                  <to>
                    <xdr:col>10</xdr:col>
                    <xdr:colOff>457200</xdr:colOff>
                    <xdr:row>98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9" r:id="rId91" name="Spinner 155">
              <controlPr defaultSize="0" autoPict="0">
                <anchor moveWithCells="1" sizeWithCells="1">
                  <from>
                    <xdr:col>14</xdr:col>
                    <xdr:colOff>38100</xdr:colOff>
                    <xdr:row>91</xdr:row>
                    <xdr:rowOff>57150</xdr:rowOff>
                  </from>
                  <to>
                    <xdr:col>14</xdr:col>
                    <xdr:colOff>457200</xdr:colOff>
                    <xdr:row>91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0" r:id="rId92" name="Spinner 156">
              <controlPr defaultSize="0" autoPict="0">
                <anchor moveWithCells="1" sizeWithCells="1">
                  <from>
                    <xdr:col>14</xdr:col>
                    <xdr:colOff>38100</xdr:colOff>
                    <xdr:row>92</xdr:row>
                    <xdr:rowOff>57150</xdr:rowOff>
                  </from>
                  <to>
                    <xdr:col>14</xdr:col>
                    <xdr:colOff>457200</xdr:colOff>
                    <xdr:row>92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1" r:id="rId93" name="Spinner 157">
              <controlPr defaultSize="0" autoPict="0">
                <anchor moveWithCells="1" sizeWithCells="1">
                  <from>
                    <xdr:col>14</xdr:col>
                    <xdr:colOff>38100</xdr:colOff>
                    <xdr:row>93</xdr:row>
                    <xdr:rowOff>57150</xdr:rowOff>
                  </from>
                  <to>
                    <xdr:col>14</xdr:col>
                    <xdr:colOff>457200</xdr:colOff>
                    <xdr:row>93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2" r:id="rId94" name="Spinner 158">
              <controlPr defaultSize="0" autoPict="0">
                <anchor moveWithCells="1" sizeWithCells="1">
                  <from>
                    <xdr:col>14</xdr:col>
                    <xdr:colOff>38100</xdr:colOff>
                    <xdr:row>94</xdr:row>
                    <xdr:rowOff>57150</xdr:rowOff>
                  </from>
                  <to>
                    <xdr:col>14</xdr:col>
                    <xdr:colOff>457200</xdr:colOff>
                    <xdr:row>94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3" r:id="rId95" name="Spinner 159">
              <controlPr defaultSize="0" autoPict="0">
                <anchor moveWithCells="1" sizeWithCells="1">
                  <from>
                    <xdr:col>14</xdr:col>
                    <xdr:colOff>38100</xdr:colOff>
                    <xdr:row>95</xdr:row>
                    <xdr:rowOff>57150</xdr:rowOff>
                  </from>
                  <to>
                    <xdr:col>14</xdr:col>
                    <xdr:colOff>457200</xdr:colOff>
                    <xdr:row>95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4" r:id="rId96" name="Spinner 160">
              <controlPr defaultSize="0" autoPict="0">
                <anchor moveWithCells="1" sizeWithCells="1">
                  <from>
                    <xdr:col>14</xdr:col>
                    <xdr:colOff>38100</xdr:colOff>
                    <xdr:row>96</xdr:row>
                    <xdr:rowOff>57150</xdr:rowOff>
                  </from>
                  <to>
                    <xdr:col>14</xdr:col>
                    <xdr:colOff>457200</xdr:colOff>
                    <xdr:row>96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5" r:id="rId97" name="Spinner 161">
              <controlPr defaultSize="0" autoPict="0">
                <anchor moveWithCells="1" sizeWithCells="1">
                  <from>
                    <xdr:col>14</xdr:col>
                    <xdr:colOff>38100</xdr:colOff>
                    <xdr:row>97</xdr:row>
                    <xdr:rowOff>57150</xdr:rowOff>
                  </from>
                  <to>
                    <xdr:col>14</xdr:col>
                    <xdr:colOff>457200</xdr:colOff>
                    <xdr:row>97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6" r:id="rId98" name="Spinner 162">
              <controlPr defaultSize="0" autoPict="0">
                <anchor moveWithCells="1" sizeWithCells="1">
                  <from>
                    <xdr:col>14</xdr:col>
                    <xdr:colOff>38100</xdr:colOff>
                    <xdr:row>98</xdr:row>
                    <xdr:rowOff>57150</xdr:rowOff>
                  </from>
                  <to>
                    <xdr:col>14</xdr:col>
                    <xdr:colOff>457200</xdr:colOff>
                    <xdr:row>98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7" r:id="rId99" name="Spinner 163">
              <controlPr defaultSize="0" autoPict="0">
                <anchor moveWithCells="1" sizeWithCells="1">
                  <from>
                    <xdr:col>19</xdr:col>
                    <xdr:colOff>76200</xdr:colOff>
                    <xdr:row>4</xdr:row>
                    <xdr:rowOff>19050</xdr:rowOff>
                  </from>
                  <to>
                    <xdr:col>19</xdr:col>
                    <xdr:colOff>876300</xdr:colOff>
                    <xdr:row>4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8" r:id="rId100" name="Spinner 164">
              <controlPr defaultSize="0" autoPict="0">
                <anchor moveWithCells="1" sizeWithCells="1">
                  <from>
                    <xdr:col>19</xdr:col>
                    <xdr:colOff>76200</xdr:colOff>
                    <xdr:row>5</xdr:row>
                    <xdr:rowOff>19050</xdr:rowOff>
                  </from>
                  <to>
                    <xdr:col>19</xdr:col>
                    <xdr:colOff>876300</xdr:colOff>
                    <xdr:row>5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9" r:id="rId101" name="Spinner 165">
              <controlPr defaultSize="0" autoPict="0">
                <anchor moveWithCells="1" sizeWithCells="1">
                  <from>
                    <xdr:col>19</xdr:col>
                    <xdr:colOff>76200</xdr:colOff>
                    <xdr:row>6</xdr:row>
                    <xdr:rowOff>19050</xdr:rowOff>
                  </from>
                  <to>
                    <xdr:col>19</xdr:col>
                    <xdr:colOff>876300</xdr:colOff>
                    <xdr:row>6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0" r:id="rId102" name="Spinner 166">
              <controlPr defaultSize="0" autoPict="0">
                <anchor moveWithCells="1" sizeWithCells="1">
                  <from>
                    <xdr:col>19</xdr:col>
                    <xdr:colOff>76200</xdr:colOff>
                    <xdr:row>31</xdr:row>
                    <xdr:rowOff>19050</xdr:rowOff>
                  </from>
                  <to>
                    <xdr:col>19</xdr:col>
                    <xdr:colOff>876300</xdr:colOff>
                    <xdr:row>31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1" r:id="rId103" name="Spinner 167">
              <controlPr defaultSize="0" autoPict="0">
                <anchor moveWithCells="1" sizeWithCells="1">
                  <from>
                    <xdr:col>19</xdr:col>
                    <xdr:colOff>76200</xdr:colOff>
                    <xdr:row>32</xdr:row>
                    <xdr:rowOff>19050</xdr:rowOff>
                  </from>
                  <to>
                    <xdr:col>19</xdr:col>
                    <xdr:colOff>876300</xdr:colOff>
                    <xdr:row>32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2" r:id="rId104" name="Spinner 168">
              <controlPr defaultSize="0" autoPict="0">
                <anchor moveWithCells="1" sizeWithCells="1">
                  <from>
                    <xdr:col>19</xdr:col>
                    <xdr:colOff>38100</xdr:colOff>
                    <xdr:row>33</xdr:row>
                    <xdr:rowOff>38100</xdr:rowOff>
                  </from>
                  <to>
                    <xdr:col>19</xdr:col>
                    <xdr:colOff>857250</xdr:colOff>
                    <xdr:row>33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4" r:id="rId105" name="Spinner 170">
              <controlPr defaultSize="0" autoPict="0">
                <anchor moveWithCells="1" sizeWithCells="1">
                  <from>
                    <xdr:col>19</xdr:col>
                    <xdr:colOff>76200</xdr:colOff>
                    <xdr:row>9</xdr:row>
                    <xdr:rowOff>19050</xdr:rowOff>
                  </from>
                  <to>
                    <xdr:col>20</xdr:col>
                    <xdr:colOff>0</xdr:colOff>
                    <xdr:row>9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5" r:id="rId106" name="Spinner 171">
              <controlPr defaultSize="0" autoPict="0">
                <anchor moveWithCells="1" sizeWithCells="1">
                  <from>
                    <xdr:col>19</xdr:col>
                    <xdr:colOff>38100</xdr:colOff>
                    <xdr:row>37</xdr:row>
                    <xdr:rowOff>38100</xdr:rowOff>
                  </from>
                  <to>
                    <xdr:col>19</xdr:col>
                    <xdr:colOff>857250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7" r:id="rId107" name="Spinner 173">
              <controlPr defaultSize="0" autoPict="0">
                <anchor moveWithCells="1" sizeWithCells="1">
                  <from>
                    <xdr:col>19</xdr:col>
                    <xdr:colOff>28575</xdr:colOff>
                    <xdr:row>61</xdr:row>
                    <xdr:rowOff>28575</xdr:rowOff>
                  </from>
                  <to>
                    <xdr:col>19</xdr:col>
                    <xdr:colOff>876300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8" r:id="rId108" name="Spinner 174">
              <controlPr defaultSize="0" autoPict="0">
                <anchor moveWithCells="1" sizeWithCells="1">
                  <from>
                    <xdr:col>19</xdr:col>
                    <xdr:colOff>19050</xdr:colOff>
                    <xdr:row>62</xdr:row>
                    <xdr:rowOff>19050</xdr:rowOff>
                  </from>
                  <to>
                    <xdr:col>19</xdr:col>
                    <xdr:colOff>866775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0" r:id="rId109" name="Spinner 176">
              <controlPr defaultSize="0" autoPict="0">
                <anchor moveWithCells="1" sizeWithCells="1">
                  <from>
                    <xdr:col>19</xdr:col>
                    <xdr:colOff>19050</xdr:colOff>
                    <xdr:row>63</xdr:row>
                    <xdr:rowOff>38100</xdr:rowOff>
                  </from>
                  <to>
                    <xdr:col>19</xdr:col>
                    <xdr:colOff>876300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1" r:id="rId110" name="Spinner 177">
              <controlPr defaultSize="0" autoPict="0">
                <anchor moveWithCells="1" sizeWithCells="1">
                  <from>
                    <xdr:col>19</xdr:col>
                    <xdr:colOff>38100</xdr:colOff>
                    <xdr:row>67</xdr:row>
                    <xdr:rowOff>38100</xdr:rowOff>
                  </from>
                  <to>
                    <xdr:col>20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2" r:id="rId111" name="Spinner 178">
              <controlPr defaultSize="0" autoPict="0">
                <anchor moveWithCells="1" sizeWithCells="1">
                  <from>
                    <xdr:col>19</xdr:col>
                    <xdr:colOff>28575</xdr:colOff>
                    <xdr:row>91</xdr:row>
                    <xdr:rowOff>28575</xdr:rowOff>
                  </from>
                  <to>
                    <xdr:col>20</xdr:col>
                    <xdr:colOff>0</xdr:colOff>
                    <xdr:row>91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3" r:id="rId112" name="Spinner 179">
              <controlPr defaultSize="0" autoPict="0">
                <anchor moveWithCells="1" sizeWithCells="1">
                  <from>
                    <xdr:col>19</xdr:col>
                    <xdr:colOff>19050</xdr:colOff>
                    <xdr:row>92</xdr:row>
                    <xdr:rowOff>19050</xdr:rowOff>
                  </from>
                  <to>
                    <xdr:col>20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4" r:id="rId113" name="Spinner 180">
              <controlPr defaultSize="0" autoPict="0">
                <anchor moveWithCells="1" sizeWithCells="1">
                  <from>
                    <xdr:col>19</xdr:col>
                    <xdr:colOff>19050</xdr:colOff>
                    <xdr:row>93</xdr:row>
                    <xdr:rowOff>38100</xdr:rowOff>
                  </from>
                  <to>
                    <xdr:col>20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5" r:id="rId114" name="Spinner 181">
              <controlPr defaultSize="0" autoPict="0">
                <anchor moveWithCells="1" sizeWithCells="1">
                  <from>
                    <xdr:col>19</xdr:col>
                    <xdr:colOff>38100</xdr:colOff>
                    <xdr:row>97</xdr:row>
                    <xdr:rowOff>38100</xdr:rowOff>
                  </from>
                  <to>
                    <xdr:col>20</xdr:col>
                    <xdr:colOff>0</xdr:colOff>
                    <xdr:row>97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6" r:id="rId115" name="Spinner 182">
              <controlPr defaultSize="0" autoPict="0">
                <anchor moveWithCells="1" sizeWithCells="1">
                  <from>
                    <xdr:col>6</xdr:col>
                    <xdr:colOff>9525</xdr:colOff>
                    <xdr:row>121</xdr:row>
                    <xdr:rowOff>0</xdr:rowOff>
                  </from>
                  <to>
                    <xdr:col>6</xdr:col>
                    <xdr:colOff>419100</xdr:colOff>
                    <xdr:row>121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7" r:id="rId116" name="Spinner 183">
              <controlPr defaultSize="0" autoPict="0">
                <anchor moveWithCells="1" sizeWithCells="1">
                  <from>
                    <xdr:col>6</xdr:col>
                    <xdr:colOff>19050</xdr:colOff>
                    <xdr:row>122</xdr:row>
                    <xdr:rowOff>9525</xdr:rowOff>
                  </from>
                  <to>
                    <xdr:col>6</xdr:col>
                    <xdr:colOff>419100</xdr:colOff>
                    <xdr:row>122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9" r:id="rId117" name="Spinner 185">
              <controlPr defaultSize="0" autoPict="0">
                <anchor moveWithCells="1" sizeWithCells="1">
                  <from>
                    <xdr:col>6</xdr:col>
                    <xdr:colOff>38100</xdr:colOff>
                    <xdr:row>123</xdr:row>
                    <xdr:rowOff>28575</xdr:rowOff>
                  </from>
                  <to>
                    <xdr:col>6</xdr:col>
                    <xdr:colOff>438150</xdr:colOff>
                    <xdr:row>123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0" r:id="rId118" name="Spinner 186">
              <controlPr defaultSize="0" autoPict="0">
                <anchor moveWithCells="1" sizeWithCells="1">
                  <from>
                    <xdr:col>6</xdr:col>
                    <xdr:colOff>19050</xdr:colOff>
                    <xdr:row>124</xdr:row>
                    <xdr:rowOff>19050</xdr:rowOff>
                  </from>
                  <to>
                    <xdr:col>6</xdr:col>
                    <xdr:colOff>447675</xdr:colOff>
                    <xdr:row>124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1" r:id="rId119" name="Spinner 187">
              <controlPr defaultSize="0" autoPict="0">
                <anchor moveWithCells="1" sizeWithCells="1">
                  <from>
                    <xdr:col>6</xdr:col>
                    <xdr:colOff>19050</xdr:colOff>
                    <xdr:row>125</xdr:row>
                    <xdr:rowOff>47625</xdr:rowOff>
                  </from>
                  <to>
                    <xdr:col>6</xdr:col>
                    <xdr:colOff>438150</xdr:colOff>
                    <xdr:row>125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2" r:id="rId120" name="Spinner 188">
              <controlPr defaultSize="0" autoPict="0">
                <anchor moveWithCells="1" sizeWithCells="1">
                  <from>
                    <xdr:col>6</xdr:col>
                    <xdr:colOff>38100</xdr:colOff>
                    <xdr:row>126</xdr:row>
                    <xdr:rowOff>38100</xdr:rowOff>
                  </from>
                  <to>
                    <xdr:col>6</xdr:col>
                    <xdr:colOff>457200</xdr:colOff>
                    <xdr:row>126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3" r:id="rId121" name="Spinner 189">
              <controlPr defaultSize="0" autoPict="0">
                <anchor moveWithCells="1" sizeWithCells="1">
                  <from>
                    <xdr:col>6</xdr:col>
                    <xdr:colOff>19050</xdr:colOff>
                    <xdr:row>127</xdr:row>
                    <xdr:rowOff>66675</xdr:rowOff>
                  </from>
                  <to>
                    <xdr:col>6</xdr:col>
                    <xdr:colOff>438150</xdr:colOff>
                    <xdr:row>127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4" r:id="rId122" name="Spinner 190">
              <controlPr defaultSize="0" autoPict="0">
                <anchor moveWithCells="1" sizeWithCells="1">
                  <from>
                    <xdr:col>6</xdr:col>
                    <xdr:colOff>28575</xdr:colOff>
                    <xdr:row>128</xdr:row>
                    <xdr:rowOff>38100</xdr:rowOff>
                  </from>
                  <to>
                    <xdr:col>6</xdr:col>
                    <xdr:colOff>447675</xdr:colOff>
                    <xdr:row>128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3" r:id="rId123" name="Spinner 199">
              <controlPr defaultSize="0" autoPict="0">
                <anchor moveWithCells="1" sizeWithCells="1">
                  <from>
                    <xdr:col>10</xdr:col>
                    <xdr:colOff>38100</xdr:colOff>
                    <xdr:row>121</xdr:row>
                    <xdr:rowOff>57150</xdr:rowOff>
                  </from>
                  <to>
                    <xdr:col>10</xdr:col>
                    <xdr:colOff>457200</xdr:colOff>
                    <xdr:row>121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4" r:id="rId124" name="Spinner 200">
              <controlPr defaultSize="0" autoPict="0">
                <anchor moveWithCells="1" sizeWithCells="1">
                  <from>
                    <xdr:col>10</xdr:col>
                    <xdr:colOff>38100</xdr:colOff>
                    <xdr:row>122</xdr:row>
                    <xdr:rowOff>57150</xdr:rowOff>
                  </from>
                  <to>
                    <xdr:col>10</xdr:col>
                    <xdr:colOff>457200</xdr:colOff>
                    <xdr:row>122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5" r:id="rId125" name="Spinner 201">
              <controlPr defaultSize="0" autoPict="0">
                <anchor moveWithCells="1" sizeWithCells="1">
                  <from>
                    <xdr:col>10</xdr:col>
                    <xdr:colOff>38100</xdr:colOff>
                    <xdr:row>123</xdr:row>
                    <xdr:rowOff>47625</xdr:rowOff>
                  </from>
                  <to>
                    <xdr:col>10</xdr:col>
                    <xdr:colOff>457200</xdr:colOff>
                    <xdr:row>123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6" r:id="rId126" name="Spinner 202">
              <controlPr defaultSize="0" autoPict="0">
                <anchor moveWithCells="1" sizeWithCells="1">
                  <from>
                    <xdr:col>10</xdr:col>
                    <xdr:colOff>28575</xdr:colOff>
                    <xdr:row>124</xdr:row>
                    <xdr:rowOff>47625</xdr:rowOff>
                  </from>
                  <to>
                    <xdr:col>10</xdr:col>
                    <xdr:colOff>447675</xdr:colOff>
                    <xdr:row>124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7" r:id="rId127" name="Spinner 203">
              <controlPr defaultSize="0" autoPict="0">
                <anchor moveWithCells="1" sizeWithCells="1">
                  <from>
                    <xdr:col>10</xdr:col>
                    <xdr:colOff>28575</xdr:colOff>
                    <xdr:row>125</xdr:row>
                    <xdr:rowOff>38100</xdr:rowOff>
                  </from>
                  <to>
                    <xdr:col>10</xdr:col>
                    <xdr:colOff>447675</xdr:colOff>
                    <xdr:row>125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8" r:id="rId128" name="Spinner 204">
              <controlPr defaultSize="0" autoPict="0">
                <anchor moveWithCells="1" sizeWithCells="1">
                  <from>
                    <xdr:col>10</xdr:col>
                    <xdr:colOff>28575</xdr:colOff>
                    <xdr:row>126</xdr:row>
                    <xdr:rowOff>38100</xdr:rowOff>
                  </from>
                  <to>
                    <xdr:col>10</xdr:col>
                    <xdr:colOff>447675</xdr:colOff>
                    <xdr:row>126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" r:id="rId129" name="Spinner 205">
              <controlPr defaultSize="0" autoPict="0">
                <anchor moveWithCells="1" sizeWithCells="1">
                  <from>
                    <xdr:col>10</xdr:col>
                    <xdr:colOff>38100</xdr:colOff>
                    <xdr:row>127</xdr:row>
                    <xdr:rowOff>47625</xdr:rowOff>
                  </from>
                  <to>
                    <xdr:col>10</xdr:col>
                    <xdr:colOff>457200</xdr:colOff>
                    <xdr:row>127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" r:id="rId130" name="Spinner 206">
              <controlPr defaultSize="0" autoPict="0">
                <anchor moveWithCells="1" sizeWithCells="1">
                  <from>
                    <xdr:col>10</xdr:col>
                    <xdr:colOff>38100</xdr:colOff>
                    <xdr:row>128</xdr:row>
                    <xdr:rowOff>66675</xdr:rowOff>
                  </from>
                  <to>
                    <xdr:col>10</xdr:col>
                    <xdr:colOff>457200</xdr:colOff>
                    <xdr:row>128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1" r:id="rId131" name="Spinner 207">
              <controlPr defaultSize="0" autoPict="0">
                <anchor moveWithCells="1" sizeWithCells="1">
                  <from>
                    <xdr:col>14</xdr:col>
                    <xdr:colOff>38100</xdr:colOff>
                    <xdr:row>121</xdr:row>
                    <xdr:rowOff>57150</xdr:rowOff>
                  </from>
                  <to>
                    <xdr:col>14</xdr:col>
                    <xdr:colOff>457200</xdr:colOff>
                    <xdr:row>121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2" r:id="rId132" name="Spinner 208">
              <controlPr defaultSize="0" autoPict="0">
                <anchor moveWithCells="1" sizeWithCells="1">
                  <from>
                    <xdr:col>14</xdr:col>
                    <xdr:colOff>38100</xdr:colOff>
                    <xdr:row>122</xdr:row>
                    <xdr:rowOff>57150</xdr:rowOff>
                  </from>
                  <to>
                    <xdr:col>14</xdr:col>
                    <xdr:colOff>457200</xdr:colOff>
                    <xdr:row>122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3" r:id="rId133" name="Spinner 209">
              <controlPr defaultSize="0" autoPict="0">
                <anchor moveWithCells="1" sizeWithCells="1">
                  <from>
                    <xdr:col>14</xdr:col>
                    <xdr:colOff>47625</xdr:colOff>
                    <xdr:row>123</xdr:row>
                    <xdr:rowOff>57150</xdr:rowOff>
                  </from>
                  <to>
                    <xdr:col>14</xdr:col>
                    <xdr:colOff>466725</xdr:colOff>
                    <xdr:row>123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4" r:id="rId134" name="Spinner 210">
              <controlPr defaultSize="0" autoPict="0">
                <anchor moveWithCells="1" sizeWithCells="1">
                  <from>
                    <xdr:col>14</xdr:col>
                    <xdr:colOff>47625</xdr:colOff>
                    <xdr:row>124</xdr:row>
                    <xdr:rowOff>57150</xdr:rowOff>
                  </from>
                  <to>
                    <xdr:col>14</xdr:col>
                    <xdr:colOff>466725</xdr:colOff>
                    <xdr:row>124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5" r:id="rId135" name="Spinner 211">
              <controlPr defaultSize="0" autoPict="0">
                <anchor moveWithCells="1" sizeWithCells="1">
                  <from>
                    <xdr:col>14</xdr:col>
                    <xdr:colOff>47625</xdr:colOff>
                    <xdr:row>125</xdr:row>
                    <xdr:rowOff>47625</xdr:rowOff>
                  </from>
                  <to>
                    <xdr:col>14</xdr:col>
                    <xdr:colOff>466725</xdr:colOff>
                    <xdr:row>125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6" r:id="rId136" name="Spinner 212">
              <controlPr defaultSize="0" autoPict="0">
                <anchor moveWithCells="1" sizeWithCells="1">
                  <from>
                    <xdr:col>14</xdr:col>
                    <xdr:colOff>47625</xdr:colOff>
                    <xdr:row>126</xdr:row>
                    <xdr:rowOff>66675</xdr:rowOff>
                  </from>
                  <to>
                    <xdr:col>14</xdr:col>
                    <xdr:colOff>466725</xdr:colOff>
                    <xdr:row>126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7" r:id="rId137" name="Spinner 213">
              <controlPr defaultSize="0" autoPict="0">
                <anchor moveWithCells="1" sizeWithCells="1">
                  <from>
                    <xdr:col>14</xdr:col>
                    <xdr:colOff>57150</xdr:colOff>
                    <xdr:row>127</xdr:row>
                    <xdr:rowOff>66675</xdr:rowOff>
                  </from>
                  <to>
                    <xdr:col>14</xdr:col>
                    <xdr:colOff>476250</xdr:colOff>
                    <xdr:row>127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8" r:id="rId138" name="Spinner 214">
              <controlPr defaultSize="0" autoPict="0">
                <anchor moveWithCells="1" sizeWithCells="1">
                  <from>
                    <xdr:col>14</xdr:col>
                    <xdr:colOff>38100</xdr:colOff>
                    <xdr:row>128</xdr:row>
                    <xdr:rowOff>66675</xdr:rowOff>
                  </from>
                  <to>
                    <xdr:col>14</xdr:col>
                    <xdr:colOff>457200</xdr:colOff>
                    <xdr:row>128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3" r:id="rId139" name="Spinner 219">
              <controlPr defaultSize="0" autoPict="0">
                <anchor moveWithCells="1" sizeWithCells="1">
                  <from>
                    <xdr:col>19</xdr:col>
                    <xdr:colOff>28575</xdr:colOff>
                    <xdr:row>121</xdr:row>
                    <xdr:rowOff>28575</xdr:rowOff>
                  </from>
                  <to>
                    <xdr:col>20</xdr:col>
                    <xdr:colOff>0</xdr:colOff>
                    <xdr:row>121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4" r:id="rId140" name="Spinner 220">
              <controlPr defaultSize="0" autoPict="0">
                <anchor moveWithCells="1" sizeWithCells="1">
                  <from>
                    <xdr:col>19</xdr:col>
                    <xdr:colOff>19050</xdr:colOff>
                    <xdr:row>122</xdr:row>
                    <xdr:rowOff>38100</xdr:rowOff>
                  </from>
                  <to>
                    <xdr:col>20</xdr:col>
                    <xdr:colOff>0</xdr:colOff>
                    <xdr:row>122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5" r:id="rId141" name="Spinner 221">
              <controlPr defaultSize="0" autoPict="0">
                <anchor moveWithCells="1" sizeWithCells="1">
                  <from>
                    <xdr:col>19</xdr:col>
                    <xdr:colOff>19050</xdr:colOff>
                    <xdr:row>123</xdr:row>
                    <xdr:rowOff>0</xdr:rowOff>
                  </from>
                  <to>
                    <xdr:col>20</xdr:col>
                    <xdr:colOff>0</xdr:colOff>
                    <xdr:row>123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6" r:id="rId142" name="Spinner 222">
              <controlPr defaultSize="0" autoPict="0">
                <anchor moveWithCells="1" sizeWithCells="1">
                  <from>
                    <xdr:col>19</xdr:col>
                    <xdr:colOff>28575</xdr:colOff>
                    <xdr:row>127</xdr:row>
                    <xdr:rowOff>38100</xdr:rowOff>
                  </from>
                  <to>
                    <xdr:col>19</xdr:col>
                    <xdr:colOff>781050</xdr:colOff>
                    <xdr:row>127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7" r:id="rId143" name="Spinner 223">
              <controlPr defaultSize="0" autoPict="0">
                <anchor moveWithCells="1" sizeWithCells="1">
                  <from>
                    <xdr:col>19</xdr:col>
                    <xdr:colOff>28575</xdr:colOff>
                    <xdr:row>158</xdr:row>
                    <xdr:rowOff>38100</xdr:rowOff>
                  </from>
                  <to>
                    <xdr:col>19</xdr:col>
                    <xdr:colOff>781050</xdr:colOff>
                    <xdr:row>158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8" r:id="rId144" name="Spinner 224">
              <controlPr defaultSize="0" autoPict="0">
                <anchor moveWithCells="1" sizeWithCells="1">
                  <from>
                    <xdr:col>6</xdr:col>
                    <xdr:colOff>47625</xdr:colOff>
                    <xdr:row>188</xdr:row>
                    <xdr:rowOff>76200</xdr:rowOff>
                  </from>
                  <to>
                    <xdr:col>6</xdr:col>
                    <xdr:colOff>447675</xdr:colOff>
                    <xdr:row>188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9" r:id="rId145" name="Spinner 225">
              <controlPr defaultSize="0" autoPict="0">
                <anchor moveWithCells="1" sizeWithCells="1">
                  <from>
                    <xdr:col>6</xdr:col>
                    <xdr:colOff>47625</xdr:colOff>
                    <xdr:row>187</xdr:row>
                    <xdr:rowOff>76200</xdr:rowOff>
                  </from>
                  <to>
                    <xdr:col>6</xdr:col>
                    <xdr:colOff>428625</xdr:colOff>
                    <xdr:row>187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0" r:id="rId146" name="Spinner 226">
              <controlPr defaultSize="0" autoPict="0">
                <anchor moveWithCells="1" sizeWithCells="1">
                  <from>
                    <xdr:col>6</xdr:col>
                    <xdr:colOff>38100</xdr:colOff>
                    <xdr:row>186</xdr:row>
                    <xdr:rowOff>66675</xdr:rowOff>
                  </from>
                  <to>
                    <xdr:col>6</xdr:col>
                    <xdr:colOff>438150</xdr:colOff>
                    <xdr:row>186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1" r:id="rId147" name="Spinner 227">
              <controlPr defaultSize="0" autoPict="0">
                <anchor moveWithCells="1" sizeWithCells="1">
                  <from>
                    <xdr:col>6</xdr:col>
                    <xdr:colOff>28575</xdr:colOff>
                    <xdr:row>185</xdr:row>
                    <xdr:rowOff>66675</xdr:rowOff>
                  </from>
                  <to>
                    <xdr:col>6</xdr:col>
                    <xdr:colOff>428625</xdr:colOff>
                    <xdr:row>185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2" r:id="rId148" name="Spinner 228">
              <controlPr defaultSize="0" autoPict="0">
                <anchor moveWithCells="1" sizeWithCells="1">
                  <from>
                    <xdr:col>6</xdr:col>
                    <xdr:colOff>47625</xdr:colOff>
                    <xdr:row>184</xdr:row>
                    <xdr:rowOff>47625</xdr:rowOff>
                  </from>
                  <to>
                    <xdr:col>6</xdr:col>
                    <xdr:colOff>447675</xdr:colOff>
                    <xdr:row>184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3" r:id="rId149" name="Spinner 229">
              <controlPr defaultSize="0" autoPict="0">
                <anchor moveWithCells="1" sizeWithCells="1">
                  <from>
                    <xdr:col>6</xdr:col>
                    <xdr:colOff>66675</xdr:colOff>
                    <xdr:row>183</xdr:row>
                    <xdr:rowOff>47625</xdr:rowOff>
                  </from>
                  <to>
                    <xdr:col>6</xdr:col>
                    <xdr:colOff>447675</xdr:colOff>
                    <xdr:row>183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4" r:id="rId150" name="Spinner 230">
              <controlPr defaultSize="0" autoPict="0">
                <anchor moveWithCells="1" sizeWithCells="1">
                  <from>
                    <xdr:col>6</xdr:col>
                    <xdr:colOff>47625</xdr:colOff>
                    <xdr:row>182</xdr:row>
                    <xdr:rowOff>57150</xdr:rowOff>
                  </from>
                  <to>
                    <xdr:col>6</xdr:col>
                    <xdr:colOff>447675</xdr:colOff>
                    <xdr:row>182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5" r:id="rId151" name="Spinner 231">
              <controlPr defaultSize="0" autoPict="0">
                <anchor moveWithCells="1" sizeWithCells="1">
                  <from>
                    <xdr:col>6</xdr:col>
                    <xdr:colOff>38100</xdr:colOff>
                    <xdr:row>181</xdr:row>
                    <xdr:rowOff>19050</xdr:rowOff>
                  </from>
                  <to>
                    <xdr:col>6</xdr:col>
                    <xdr:colOff>438150</xdr:colOff>
                    <xdr:row>181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6" r:id="rId152" name="Spinner 232">
              <controlPr defaultSize="0" autoPict="0">
                <anchor moveWithCells="1" sizeWithCells="1">
                  <from>
                    <xdr:col>10</xdr:col>
                    <xdr:colOff>19050</xdr:colOff>
                    <xdr:row>181</xdr:row>
                    <xdr:rowOff>0</xdr:rowOff>
                  </from>
                  <to>
                    <xdr:col>10</xdr:col>
                    <xdr:colOff>438150</xdr:colOff>
                    <xdr:row>181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7" r:id="rId153" name="Spinner 233">
              <controlPr defaultSize="0" autoPict="0">
                <anchor moveWithCells="1" sizeWithCells="1">
                  <from>
                    <xdr:col>10</xdr:col>
                    <xdr:colOff>28575</xdr:colOff>
                    <xdr:row>182</xdr:row>
                    <xdr:rowOff>9525</xdr:rowOff>
                  </from>
                  <to>
                    <xdr:col>10</xdr:col>
                    <xdr:colOff>447675</xdr:colOff>
                    <xdr:row>182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8" r:id="rId154" name="Spinner 234">
              <controlPr defaultSize="0" autoPict="0">
                <anchor moveWithCells="1" sizeWithCells="1">
                  <from>
                    <xdr:col>10</xdr:col>
                    <xdr:colOff>28575</xdr:colOff>
                    <xdr:row>183</xdr:row>
                    <xdr:rowOff>9525</xdr:rowOff>
                  </from>
                  <to>
                    <xdr:col>10</xdr:col>
                    <xdr:colOff>447675</xdr:colOff>
                    <xdr:row>183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9" r:id="rId155" name="Spinner 235">
              <controlPr defaultSize="0" autoPict="0">
                <anchor moveWithCells="1" sizeWithCells="1">
                  <from>
                    <xdr:col>10</xdr:col>
                    <xdr:colOff>47625</xdr:colOff>
                    <xdr:row>184</xdr:row>
                    <xdr:rowOff>28575</xdr:rowOff>
                  </from>
                  <to>
                    <xdr:col>10</xdr:col>
                    <xdr:colOff>466725</xdr:colOff>
                    <xdr:row>184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0" r:id="rId156" name="Spinner 236">
              <controlPr defaultSize="0" autoPict="0">
                <anchor moveWithCells="1" sizeWithCells="1">
                  <from>
                    <xdr:col>10</xdr:col>
                    <xdr:colOff>47625</xdr:colOff>
                    <xdr:row>185</xdr:row>
                    <xdr:rowOff>19050</xdr:rowOff>
                  </from>
                  <to>
                    <xdr:col>10</xdr:col>
                    <xdr:colOff>466725</xdr:colOff>
                    <xdr:row>185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1" r:id="rId157" name="Spinner 237">
              <controlPr defaultSize="0" autoPict="0">
                <anchor moveWithCells="1" sizeWithCells="1">
                  <from>
                    <xdr:col>10</xdr:col>
                    <xdr:colOff>28575</xdr:colOff>
                    <xdr:row>186</xdr:row>
                    <xdr:rowOff>19050</xdr:rowOff>
                  </from>
                  <to>
                    <xdr:col>10</xdr:col>
                    <xdr:colOff>447675</xdr:colOff>
                    <xdr:row>186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2" r:id="rId158" name="Spinner 238">
              <controlPr defaultSize="0" autoPict="0">
                <anchor moveWithCells="1" sizeWithCells="1">
                  <from>
                    <xdr:col>10</xdr:col>
                    <xdr:colOff>38100</xdr:colOff>
                    <xdr:row>187</xdr:row>
                    <xdr:rowOff>19050</xdr:rowOff>
                  </from>
                  <to>
                    <xdr:col>10</xdr:col>
                    <xdr:colOff>457200</xdr:colOff>
                    <xdr:row>187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3" r:id="rId159" name="Spinner 239">
              <controlPr defaultSize="0" autoPict="0">
                <anchor moveWithCells="1" sizeWithCells="1">
                  <from>
                    <xdr:col>10</xdr:col>
                    <xdr:colOff>28575</xdr:colOff>
                    <xdr:row>188</xdr:row>
                    <xdr:rowOff>28575</xdr:rowOff>
                  </from>
                  <to>
                    <xdr:col>10</xdr:col>
                    <xdr:colOff>447675</xdr:colOff>
                    <xdr:row>188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2" r:id="rId160" name="Spinner 248">
              <controlPr defaultSize="0" autoPict="0">
                <anchor moveWithCells="1" sizeWithCells="1">
                  <from>
                    <xdr:col>14</xdr:col>
                    <xdr:colOff>38100</xdr:colOff>
                    <xdr:row>181</xdr:row>
                    <xdr:rowOff>57150</xdr:rowOff>
                  </from>
                  <to>
                    <xdr:col>14</xdr:col>
                    <xdr:colOff>457200</xdr:colOff>
                    <xdr:row>181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3" r:id="rId161" name="Spinner 249">
              <controlPr defaultSize="0" autoPict="0">
                <anchor moveWithCells="1" sizeWithCells="1">
                  <from>
                    <xdr:col>14</xdr:col>
                    <xdr:colOff>57150</xdr:colOff>
                    <xdr:row>182</xdr:row>
                    <xdr:rowOff>19050</xdr:rowOff>
                  </from>
                  <to>
                    <xdr:col>14</xdr:col>
                    <xdr:colOff>476250</xdr:colOff>
                    <xdr:row>182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4" r:id="rId162" name="Spinner 250">
              <controlPr defaultSize="0" autoPict="0">
                <anchor moveWithCells="1" sizeWithCells="1">
                  <from>
                    <xdr:col>14</xdr:col>
                    <xdr:colOff>47625</xdr:colOff>
                    <xdr:row>183</xdr:row>
                    <xdr:rowOff>28575</xdr:rowOff>
                  </from>
                  <to>
                    <xdr:col>14</xdr:col>
                    <xdr:colOff>466725</xdr:colOff>
                    <xdr:row>183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5" r:id="rId163" name="Spinner 251">
              <controlPr defaultSize="0" autoPict="0">
                <anchor moveWithCells="1" sizeWithCells="1">
                  <from>
                    <xdr:col>14</xdr:col>
                    <xdr:colOff>38100</xdr:colOff>
                    <xdr:row>184</xdr:row>
                    <xdr:rowOff>28575</xdr:rowOff>
                  </from>
                  <to>
                    <xdr:col>14</xdr:col>
                    <xdr:colOff>457200</xdr:colOff>
                    <xdr:row>184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6" r:id="rId164" name="Spinner 252">
              <controlPr defaultSize="0" autoPict="0">
                <anchor moveWithCells="1" sizeWithCells="1">
                  <from>
                    <xdr:col>14</xdr:col>
                    <xdr:colOff>47625</xdr:colOff>
                    <xdr:row>185</xdr:row>
                    <xdr:rowOff>19050</xdr:rowOff>
                  </from>
                  <to>
                    <xdr:col>14</xdr:col>
                    <xdr:colOff>466725</xdr:colOff>
                    <xdr:row>185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7" r:id="rId165" name="Spinner 253">
              <controlPr defaultSize="0" autoPict="0">
                <anchor moveWithCells="1" sizeWithCells="1">
                  <from>
                    <xdr:col>14</xdr:col>
                    <xdr:colOff>47625</xdr:colOff>
                    <xdr:row>186</xdr:row>
                    <xdr:rowOff>28575</xdr:rowOff>
                  </from>
                  <to>
                    <xdr:col>14</xdr:col>
                    <xdr:colOff>466725</xdr:colOff>
                    <xdr:row>186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8" r:id="rId166" name="Spinner 254">
              <controlPr defaultSize="0" autoPict="0">
                <anchor moveWithCells="1" sizeWithCells="1">
                  <from>
                    <xdr:col>14</xdr:col>
                    <xdr:colOff>47625</xdr:colOff>
                    <xdr:row>187</xdr:row>
                    <xdr:rowOff>28575</xdr:rowOff>
                  </from>
                  <to>
                    <xdr:col>14</xdr:col>
                    <xdr:colOff>466725</xdr:colOff>
                    <xdr:row>187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9" r:id="rId167" name="Spinner 255">
              <controlPr defaultSize="0" autoPict="0">
                <anchor moveWithCells="1" sizeWithCells="1">
                  <from>
                    <xdr:col>14</xdr:col>
                    <xdr:colOff>47625</xdr:colOff>
                    <xdr:row>188</xdr:row>
                    <xdr:rowOff>28575</xdr:rowOff>
                  </from>
                  <to>
                    <xdr:col>14</xdr:col>
                    <xdr:colOff>466725</xdr:colOff>
                    <xdr:row>188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0" r:id="rId168" name="Spinner 256">
              <controlPr defaultSize="0" autoPict="0">
                <anchor moveWithCells="1" sizeWithCells="1">
                  <from>
                    <xdr:col>19</xdr:col>
                    <xdr:colOff>28575</xdr:colOff>
                    <xdr:row>181</xdr:row>
                    <xdr:rowOff>28575</xdr:rowOff>
                  </from>
                  <to>
                    <xdr:col>19</xdr:col>
                    <xdr:colOff>752475</xdr:colOff>
                    <xdr:row>181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1" r:id="rId169" name="Spinner 257">
              <controlPr defaultSize="0" autoPict="0">
                <anchor moveWithCells="1" sizeWithCells="1">
                  <from>
                    <xdr:col>19</xdr:col>
                    <xdr:colOff>19050</xdr:colOff>
                    <xdr:row>182</xdr:row>
                    <xdr:rowOff>9525</xdr:rowOff>
                  </from>
                  <to>
                    <xdr:col>20</xdr:col>
                    <xdr:colOff>0</xdr:colOff>
                    <xdr:row>182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2" r:id="rId170" name="Spinner 258">
              <controlPr defaultSize="0" autoPict="0">
                <anchor moveWithCells="1" sizeWithCells="1">
                  <from>
                    <xdr:col>19</xdr:col>
                    <xdr:colOff>19050</xdr:colOff>
                    <xdr:row>183</xdr:row>
                    <xdr:rowOff>19050</xdr:rowOff>
                  </from>
                  <to>
                    <xdr:col>20</xdr:col>
                    <xdr:colOff>0</xdr:colOff>
                    <xdr:row>184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3" r:id="rId171" name="Spinner 259">
              <controlPr defaultSize="0" autoPict="0">
                <anchor moveWithCells="1" sizeWithCells="1">
                  <from>
                    <xdr:col>19</xdr:col>
                    <xdr:colOff>28575</xdr:colOff>
                    <xdr:row>187</xdr:row>
                    <xdr:rowOff>38100</xdr:rowOff>
                  </from>
                  <to>
                    <xdr:col>19</xdr:col>
                    <xdr:colOff>781050</xdr:colOff>
                    <xdr:row>187</xdr:row>
                    <xdr:rowOff>628650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81F17-B907-426A-B1F0-986F762A4B91}">
  <sheetPr>
    <tabColor rgb="FFFF0000"/>
  </sheetPr>
  <dimension ref="B2:Q47"/>
  <sheetViews>
    <sheetView showGridLines="0" topLeftCell="F1" workbookViewId="0">
      <selection activeCell="H22" sqref="H22"/>
    </sheetView>
  </sheetViews>
  <sheetFormatPr defaultRowHeight="15" outlineLevelCol="1" x14ac:dyDescent="0.25"/>
  <cols>
    <col min="1" max="1" width="10.7109375" style="291" customWidth="1"/>
    <col min="2" max="2" width="16.140625" style="291" customWidth="1"/>
    <col min="3" max="3" width="11.28515625" style="291" customWidth="1"/>
    <col min="4" max="4" width="4" style="291" customWidth="1"/>
    <col min="5" max="5" width="69.140625" style="291" customWidth="1"/>
    <col min="6" max="6" width="43" style="291" customWidth="1"/>
    <col min="7" max="7" width="10.7109375" style="291" customWidth="1"/>
    <col min="8" max="8" width="17" style="291" customWidth="1" outlineLevel="1"/>
    <col min="9" max="9" width="18" style="291" customWidth="1" outlineLevel="1"/>
    <col min="10" max="10" width="18.5703125" style="291" customWidth="1" outlineLevel="1"/>
    <col min="11" max="12" width="15" style="291" customWidth="1" outlineLevel="1"/>
    <col min="13" max="13" width="16.85546875" style="291" customWidth="1" outlineLevel="1"/>
    <col min="14" max="14" width="10.7109375" style="291" customWidth="1" outlineLevel="1"/>
    <col min="15" max="15" width="13.85546875" style="291" customWidth="1" outlineLevel="1"/>
    <col min="16" max="25" width="10.7109375" style="291" customWidth="1"/>
    <col min="26" max="16382" width="8.7109375" style="291"/>
    <col min="16383" max="16383" width="9" style="291" bestFit="1" customWidth="1"/>
    <col min="16384" max="16384" width="9" style="291"/>
  </cols>
  <sheetData>
    <row r="2" spans="2:17" ht="30" customHeight="1" thickBot="1" x14ac:dyDescent="0.45">
      <c r="B2" s="851" t="s">
        <v>141</v>
      </c>
      <c r="C2" s="852"/>
      <c r="D2" s="852"/>
      <c r="E2" s="852"/>
      <c r="F2" s="852"/>
    </row>
    <row r="3" spans="2:17" ht="39" customHeight="1" thickBot="1" x14ac:dyDescent="0.3">
      <c r="B3" s="402" t="s">
        <v>142</v>
      </c>
      <c r="C3" s="402" t="s">
        <v>143</v>
      </c>
      <c r="D3" s="403" t="s">
        <v>144</v>
      </c>
      <c r="E3" s="402" t="s">
        <v>145</v>
      </c>
      <c r="F3" s="402" t="s">
        <v>146</v>
      </c>
      <c r="H3" s="422" t="s">
        <v>145</v>
      </c>
      <c r="I3" s="423" t="s">
        <v>105</v>
      </c>
      <c r="J3" s="424" t="s">
        <v>51</v>
      </c>
      <c r="K3" s="425" t="s">
        <v>106</v>
      </c>
      <c r="L3" s="424" t="s">
        <v>107</v>
      </c>
      <c r="M3" s="424" t="s">
        <v>108</v>
      </c>
      <c r="N3" s="425" t="s">
        <v>109</v>
      </c>
      <c r="O3" s="426" t="s">
        <v>147</v>
      </c>
      <c r="P3" s="396"/>
      <c r="Q3" s="397"/>
    </row>
    <row r="4" spans="2:17" ht="39" customHeight="1" x14ac:dyDescent="0.25">
      <c r="B4" s="432" t="s">
        <v>148</v>
      </c>
      <c r="C4" s="431">
        <v>0</v>
      </c>
      <c r="D4" s="432"/>
      <c r="E4" s="432" t="s">
        <v>149</v>
      </c>
      <c r="F4" s="432" t="s">
        <v>150</v>
      </c>
      <c r="H4" s="421" t="s">
        <v>151</v>
      </c>
      <c r="I4" s="399">
        <f>'What If Options'!W5</f>
        <v>2113315.4545454546</v>
      </c>
      <c r="J4" s="400">
        <f>'What If Options'!Z5</f>
        <v>1143195.4200000002</v>
      </c>
      <c r="K4" s="399">
        <f>'What If Options'!AC5</f>
        <v>970120.03454545443</v>
      </c>
      <c r="L4" s="401">
        <f>'What If Options'!AF5</f>
        <v>0.45905121852909275</v>
      </c>
      <c r="M4" s="399">
        <f>'What If Options'!AI5</f>
        <v>255711.47738061263</v>
      </c>
      <c r="N4" s="399">
        <f>'What If Options'!AL5</f>
        <v>714408.5571648418</v>
      </c>
      <c r="O4" s="405">
        <f>Table2[[#This Row],[GP After Incentives]]/Table2[[#This Row],[MSF Revenue]]</f>
        <v>0.33805107307962284</v>
      </c>
      <c r="P4" s="398"/>
    </row>
    <row r="5" spans="2:17" ht="39" customHeight="1" x14ac:dyDescent="0.25">
      <c r="B5" s="394" t="s">
        <v>148</v>
      </c>
      <c r="C5" s="431">
        <v>1</v>
      </c>
      <c r="D5" s="394"/>
      <c r="E5" s="395" t="s">
        <v>152</v>
      </c>
      <c r="F5" s="395" t="s">
        <v>153</v>
      </c>
      <c r="H5" s="406" t="s">
        <v>117</v>
      </c>
      <c r="I5" s="407">
        <f>'What If Options'!W7</f>
        <v>2132018.9372950005</v>
      </c>
      <c r="J5" s="407">
        <f>'What If Options'!Z7</f>
        <v>1141263.2236080002</v>
      </c>
      <c r="K5" s="407">
        <f>'What If Options'!AC7</f>
        <v>990755.71368700033</v>
      </c>
      <c r="L5" s="408">
        <f>'What If Options'!AF7</f>
        <v>0.46470305509763521</v>
      </c>
      <c r="M5" s="407">
        <f>'What If Options'!AI7</f>
        <v>255844.39081180008</v>
      </c>
      <c r="N5" s="407">
        <f>'What If Options'!AL7</f>
        <v>734911.32287520031</v>
      </c>
      <c r="O5" s="409">
        <f>Table2[[#This Row],[GP After Incentives]]/Table2[[#This Row],[MSF Revenue]]</f>
        <v>0.34470206151527866</v>
      </c>
    </row>
    <row r="6" spans="2:17" ht="53.25" customHeight="1" x14ac:dyDescent="0.25">
      <c r="B6" s="394" t="s">
        <v>148</v>
      </c>
      <c r="C6" s="431">
        <v>2</v>
      </c>
      <c r="D6" s="394"/>
      <c r="E6" s="395" t="s">
        <v>154</v>
      </c>
      <c r="F6" s="395" t="s">
        <v>155</v>
      </c>
      <c r="H6" s="406" t="s">
        <v>130</v>
      </c>
      <c r="I6" s="419">
        <f>'What If Options'!W34</f>
        <v>1585347.9749640003</v>
      </c>
      <c r="J6" s="419">
        <f>'What If Options'!Z34</f>
        <v>1141263.2236080002</v>
      </c>
      <c r="K6" s="419">
        <f>'What If Options'!AC34</f>
        <v>444084.75135600008</v>
      </c>
      <c r="L6" s="420">
        <f>'What If Options'!AF34</f>
        <v>0.2801181559941654</v>
      </c>
      <c r="M6" s="419">
        <f>'What If Options'!AI34</f>
        <v>255844.39081180008</v>
      </c>
      <c r="N6" s="419">
        <f>'What If Options'!AL34</f>
        <v>188240.3605442</v>
      </c>
      <c r="O6" s="410">
        <f>Table2[[#This Row],[GP After Incentives]]/Table2[[#This Row],[MSF Revenue]]</f>
        <v>0.11873756646295557</v>
      </c>
    </row>
    <row r="7" spans="2:17" ht="39" customHeight="1" x14ac:dyDescent="0.25">
      <c r="B7" s="394" t="s">
        <v>148</v>
      </c>
      <c r="C7" s="431">
        <v>3</v>
      </c>
      <c r="D7" s="394"/>
      <c r="E7" s="395" t="s">
        <v>132</v>
      </c>
      <c r="F7" s="434" t="s">
        <v>156</v>
      </c>
      <c r="H7" s="406" t="s">
        <v>157</v>
      </c>
      <c r="I7" s="407">
        <f>'What If Options'!W64</f>
        <v>1585010.6064556264</v>
      </c>
      <c r="J7" s="407">
        <f>'What If Options'!Z64</f>
        <v>1005079.6656095162</v>
      </c>
      <c r="K7" s="407">
        <f>'What If Options'!AC64</f>
        <v>579930.94084611023</v>
      </c>
      <c r="L7" s="437">
        <f>'What If Options'!AF64</f>
        <v>0.36588458050949063</v>
      </c>
      <c r="M7" s="407">
        <f>'What If Options'!AI64</f>
        <v>255844.39081180008</v>
      </c>
      <c r="N7" s="438">
        <f>'What If Options'!AL64</f>
        <v>324086.55003431014</v>
      </c>
      <c r="O7" s="439">
        <f>Table2[[#This Row],[GP After Incentives]]/Table2[[#This Row],[MSF Revenue]]</f>
        <v>0.20446964122153538</v>
      </c>
    </row>
    <row r="8" spans="2:17" ht="39" customHeight="1" x14ac:dyDescent="0.25">
      <c r="B8" s="394" t="s">
        <v>148</v>
      </c>
      <c r="C8" s="431">
        <v>4</v>
      </c>
      <c r="D8" s="394"/>
      <c r="E8" s="434" t="s">
        <v>158</v>
      </c>
      <c r="F8" s="434" t="s">
        <v>159</v>
      </c>
      <c r="H8" s="406" t="s">
        <v>160</v>
      </c>
      <c r="I8" s="411"/>
      <c r="J8" s="412"/>
      <c r="K8" s="412"/>
      <c r="L8" s="412"/>
      <c r="M8" s="412"/>
      <c r="N8" s="412"/>
      <c r="O8" s="412"/>
    </row>
    <row r="9" spans="2:17" ht="30" customHeight="1" x14ac:dyDescent="0.4">
      <c r="B9" s="392" t="s">
        <v>161</v>
      </c>
    </row>
    <row r="10" spans="2:17" ht="40.5" customHeight="1" x14ac:dyDescent="0.25">
      <c r="B10" s="402" t="s">
        <v>142</v>
      </c>
      <c r="C10" s="402" t="s">
        <v>143</v>
      </c>
      <c r="D10" s="404" t="s">
        <v>144</v>
      </c>
      <c r="E10" s="402" t="s">
        <v>145</v>
      </c>
      <c r="F10" s="402" t="s">
        <v>146</v>
      </c>
    </row>
    <row r="11" spans="2:17" ht="40.5" customHeight="1" x14ac:dyDescent="0.25">
      <c r="B11" s="291" t="s">
        <v>148</v>
      </c>
      <c r="C11" s="291">
        <v>5</v>
      </c>
      <c r="E11" s="391" t="s">
        <v>162</v>
      </c>
      <c r="F11" s="390" t="s">
        <v>163</v>
      </c>
      <c r="H11" s="435" t="s">
        <v>164</v>
      </c>
      <c r="I11" s="474">
        <f>'What If Options'!W124</f>
        <v>1585406.6774533545</v>
      </c>
      <c r="J11" s="474">
        <f>'What If Options'!Z124</f>
        <v>1004680.6823250402</v>
      </c>
      <c r="K11" s="474">
        <f>'What If Options'!AC124</f>
        <v>580725.99512831424</v>
      </c>
      <c r="L11" s="475">
        <f>'What If Options'!AF124</f>
        <v>0.36629465700317149</v>
      </c>
      <c r="M11" s="478">
        <f>'What If Options'!AI124</f>
        <v>255844.39081180008</v>
      </c>
      <c r="N11" s="478">
        <f>'What If Options'!AL124</f>
        <v>324881.60431651416</v>
      </c>
      <c r="O11" s="479">
        <f>N11/I11</f>
        <v>0.20492004287402957</v>
      </c>
    </row>
    <row r="12" spans="2:17" ht="40.5" customHeight="1" x14ac:dyDescent="0.25">
      <c r="B12" s="291" t="s">
        <v>148</v>
      </c>
      <c r="C12" s="291">
        <v>6</v>
      </c>
      <c r="E12" s="436" t="s">
        <v>165</v>
      </c>
      <c r="F12" s="390" t="s">
        <v>166</v>
      </c>
      <c r="H12" s="435" t="s">
        <v>167</v>
      </c>
      <c r="I12" s="480">
        <f>'What If Options'!W155</f>
        <v>1127520.9373556802</v>
      </c>
      <c r="J12" s="483">
        <f>'What If Options'!Z155</f>
        <v>737973.46194320021</v>
      </c>
      <c r="K12" s="483">
        <f>'What If Options'!AC155</f>
        <v>389547.47541247995</v>
      </c>
      <c r="L12" s="485">
        <f>'What If Options'!AF155</f>
        <v>0.27639218927575154</v>
      </c>
      <c r="M12" s="483">
        <f>'What If Options'!AI155</f>
        <v>204675.51264944009</v>
      </c>
      <c r="N12" s="483">
        <f>'What If Options'!AL155</f>
        <v>184871.96276303986</v>
      </c>
      <c r="O12" s="486">
        <f>N12/I12</f>
        <v>0.16396321934084085</v>
      </c>
      <c r="P12" s="484">
        <f>'What If Options'!S159</f>
        <v>0.8</v>
      </c>
    </row>
    <row r="13" spans="2:17" ht="30" customHeight="1" x14ac:dyDescent="0.25">
      <c r="B13" s="393" t="s">
        <v>168</v>
      </c>
    </row>
    <row r="14" spans="2:17" ht="39" customHeight="1" x14ac:dyDescent="0.25">
      <c r="B14" s="402" t="s">
        <v>169</v>
      </c>
      <c r="C14" s="402" t="s">
        <v>143</v>
      </c>
      <c r="D14" s="404" t="s">
        <v>144</v>
      </c>
      <c r="E14" s="402" t="s">
        <v>145</v>
      </c>
      <c r="F14" s="402" t="s">
        <v>146</v>
      </c>
    </row>
    <row r="15" spans="2:17" ht="39" customHeight="1" x14ac:dyDescent="0.25">
      <c r="B15" s="291" t="s">
        <v>169</v>
      </c>
      <c r="C15" s="413">
        <v>7</v>
      </c>
      <c r="E15" s="390" t="s">
        <v>170</v>
      </c>
      <c r="F15" s="390" t="s">
        <v>171</v>
      </c>
      <c r="H15" s="435" t="s">
        <v>172</v>
      </c>
      <c r="I15" s="474">
        <f>'What If Options'!W184</f>
        <v>1585406.6774533545</v>
      </c>
      <c r="J15" s="478">
        <f>'What If Options'!Z184</f>
        <v>1005458.2628867562</v>
      </c>
      <c r="K15" s="478">
        <f>'What If Options'!AC184</f>
        <v>579948.41456659825</v>
      </c>
      <c r="L15" s="487">
        <f>'What If Options'!AF184</f>
        <v>0.36580419573996742</v>
      </c>
      <c r="M15" s="478">
        <f>'What If Options'!AI184</f>
        <v>116491.46992000005</v>
      </c>
      <c r="N15" s="478">
        <f>'What If Options'!AL184</f>
        <v>463456.94464659819</v>
      </c>
      <c r="O15" s="479">
        <f>N15/I15</f>
        <v>0.29232685293785382</v>
      </c>
    </row>
    <row r="16" spans="2:17" ht="39" customHeight="1" x14ac:dyDescent="0.25">
      <c r="B16" s="391" t="s">
        <v>169</v>
      </c>
      <c r="C16" s="413">
        <v>8</v>
      </c>
      <c r="E16" s="291" t="s">
        <v>173</v>
      </c>
      <c r="F16" s="390" t="s">
        <v>174</v>
      </c>
      <c r="H16" s="435" t="s">
        <v>175</v>
      </c>
      <c r="I16" s="480"/>
      <c r="J16" s="481"/>
      <c r="K16" s="481"/>
      <c r="L16" s="481"/>
      <c r="M16" s="481"/>
      <c r="N16" s="481"/>
      <c r="O16" s="482"/>
    </row>
    <row r="17" spans="2:15" ht="39" customHeight="1" x14ac:dyDescent="0.25">
      <c r="B17" s="391" t="s">
        <v>169</v>
      </c>
      <c r="C17" s="413">
        <v>9</v>
      </c>
      <c r="E17" s="291" t="s">
        <v>176</v>
      </c>
      <c r="F17" s="390" t="s">
        <v>177</v>
      </c>
      <c r="H17" s="435" t="s">
        <v>178</v>
      </c>
      <c r="I17" s="474"/>
      <c r="J17" s="476"/>
      <c r="K17" s="476"/>
      <c r="L17" s="476"/>
      <c r="M17" s="476"/>
      <c r="N17" s="476"/>
      <c r="O17" s="477"/>
    </row>
    <row r="18" spans="2:15" ht="30" customHeight="1" x14ac:dyDescent="0.25"/>
    <row r="19" spans="2:15" ht="30" customHeight="1" x14ac:dyDescent="0.25">
      <c r="B19" s="393" t="s">
        <v>179</v>
      </c>
    </row>
    <row r="20" spans="2:15" ht="30" customHeight="1" x14ac:dyDescent="0.25">
      <c r="B20" s="488" t="s">
        <v>169</v>
      </c>
      <c r="C20" s="488" t="s">
        <v>143</v>
      </c>
      <c r="D20" s="489" t="s">
        <v>144</v>
      </c>
      <c r="E20" s="488" t="s">
        <v>145</v>
      </c>
      <c r="F20" s="488" t="s">
        <v>146</v>
      </c>
    </row>
    <row r="21" spans="2:15" ht="30" customHeight="1" x14ac:dyDescent="0.25">
      <c r="B21" s="490" t="s">
        <v>169</v>
      </c>
      <c r="C21" s="491">
        <v>10</v>
      </c>
      <c r="D21" s="467"/>
      <c r="E21" s="492" t="s">
        <v>180</v>
      </c>
      <c r="F21" s="493"/>
    </row>
    <row r="22" spans="2:15" ht="30" customHeight="1" x14ac:dyDescent="0.25"/>
    <row r="23" spans="2:15" ht="30" customHeight="1" x14ac:dyDescent="0.25"/>
    <row r="24" spans="2:15" ht="30" customHeight="1" x14ac:dyDescent="0.25"/>
    <row r="25" spans="2:15" ht="30" customHeight="1" x14ac:dyDescent="0.25"/>
    <row r="26" spans="2:15" ht="30" customHeight="1" x14ac:dyDescent="0.25"/>
    <row r="27" spans="2:15" ht="30" customHeight="1" x14ac:dyDescent="0.25"/>
    <row r="28" spans="2:15" ht="30" customHeight="1" x14ac:dyDescent="0.25"/>
    <row r="29" spans="2:15" ht="30" customHeight="1" x14ac:dyDescent="0.25"/>
    <row r="30" spans="2:15" ht="30" customHeight="1" x14ac:dyDescent="0.25"/>
    <row r="31" spans="2:15" ht="30" customHeight="1" x14ac:dyDescent="0.25"/>
    <row r="32" spans="2:15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</sheetData>
  <mergeCells count="1">
    <mergeCell ref="B2:F2"/>
  </mergeCells>
  <phoneticPr fontId="50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TTV By Card</vt:lpstr>
      <vt:lpstr>MSF By Card</vt:lpstr>
      <vt:lpstr>COA by Card</vt:lpstr>
      <vt:lpstr>GP Summary</vt:lpstr>
      <vt:lpstr>GP by Card Type</vt:lpstr>
      <vt:lpstr>Annualized</vt:lpstr>
      <vt:lpstr>Pie Chart</vt:lpstr>
      <vt:lpstr>What If Options</vt:lpstr>
      <vt:lpstr>Scenarios</vt:lpstr>
      <vt:lpstr>Working Paper 1</vt:lpstr>
      <vt:lpstr>Working Paper 2</vt:lpstr>
      <vt:lpstr>Working Paper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Vernali</dc:creator>
  <cp:keywords/>
  <dc:description/>
  <cp:lastModifiedBy>Dia Sanjaasuren</cp:lastModifiedBy>
  <cp:revision/>
  <dcterms:created xsi:type="dcterms:W3CDTF">2025-03-12T03:53:28Z</dcterms:created>
  <dcterms:modified xsi:type="dcterms:W3CDTF">2025-05-20T05:31:31Z</dcterms:modified>
  <cp:category/>
  <cp:contentStatus/>
</cp:coreProperties>
</file>