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ko\Desktop\"/>
    </mc:Choice>
  </mc:AlternateContent>
  <xr:revisionPtr revIDLastSave="0" documentId="8_{1024F5BE-6A73-4BD9-AF07-4248A25DA8CC}" xr6:coauthVersionLast="45" xr6:coauthVersionMax="45" xr10:uidLastSave="{00000000-0000-0000-0000-000000000000}"/>
  <bookViews>
    <workbookView xWindow="-108" yWindow="-108" windowWidth="23256" windowHeight="12576" xr2:uid="{BED45B77-F067-4795-8D99-43F1D007C6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E4" i="1"/>
  <c r="D7" i="1"/>
  <c r="D18" i="1"/>
  <c r="D16" i="1"/>
  <c r="D21" i="1"/>
  <c r="D19" i="1"/>
  <c r="E24" i="1"/>
  <c r="E22" i="1"/>
  <c r="D24" i="1"/>
  <c r="D22" i="1"/>
  <c r="F27" i="1"/>
  <c r="E27" i="1"/>
  <c r="D27" i="1"/>
  <c r="F25" i="1"/>
  <c r="E25" i="1"/>
  <c r="D25" i="1"/>
  <c r="H25" i="1"/>
  <c r="G25" i="1"/>
  <c r="G27" i="1"/>
  <c r="G24" i="1"/>
  <c r="J27" i="1"/>
  <c r="K27" i="1"/>
  <c r="I27" i="1"/>
  <c r="H27" i="1"/>
  <c r="K25" i="1"/>
  <c r="J25" i="1"/>
  <c r="I25" i="1"/>
  <c r="J24" i="1"/>
  <c r="I24" i="1"/>
  <c r="H24" i="1"/>
  <c r="F24" i="1"/>
  <c r="K24" i="1"/>
  <c r="K22" i="1"/>
  <c r="J22" i="1"/>
  <c r="I22" i="1"/>
  <c r="H22" i="1"/>
  <c r="G22" i="1"/>
  <c r="F22" i="1"/>
  <c r="J21" i="1"/>
  <c r="I21" i="1"/>
  <c r="H21" i="1"/>
  <c r="G21" i="1"/>
  <c r="F21" i="1"/>
  <c r="E21" i="1"/>
  <c r="J19" i="1"/>
  <c r="I19" i="1"/>
  <c r="H19" i="1"/>
  <c r="G19" i="1"/>
  <c r="F19" i="1"/>
  <c r="E19" i="1"/>
  <c r="K21" i="1"/>
  <c r="K19" i="1"/>
  <c r="J18" i="1"/>
  <c r="I18" i="1"/>
  <c r="H18" i="1"/>
  <c r="G18" i="1"/>
  <c r="F18" i="1"/>
  <c r="E18" i="1"/>
  <c r="K18" i="1"/>
  <c r="K16" i="1"/>
  <c r="J16" i="1"/>
  <c r="I16" i="1"/>
  <c r="H16" i="1"/>
  <c r="G16" i="1"/>
  <c r="F16" i="1"/>
  <c r="E16" i="1"/>
  <c r="D13" i="1"/>
  <c r="J15" i="1"/>
  <c r="I15" i="1"/>
  <c r="H15" i="1"/>
  <c r="G15" i="1"/>
  <c r="F15" i="1"/>
  <c r="E15" i="1"/>
  <c r="D15" i="1"/>
  <c r="K15" i="1"/>
  <c r="K13" i="1"/>
  <c r="J13" i="1"/>
  <c r="I13" i="1"/>
  <c r="H13" i="1"/>
  <c r="G13" i="1"/>
  <c r="F13" i="1"/>
  <c r="E13" i="1"/>
  <c r="D12" i="1"/>
  <c r="J12" i="1"/>
  <c r="I12" i="1"/>
  <c r="H12" i="1"/>
  <c r="G12" i="1"/>
  <c r="F12" i="1"/>
  <c r="E12" i="1"/>
  <c r="K12" i="1"/>
  <c r="K10" i="1"/>
  <c r="J10" i="1"/>
  <c r="I10" i="1"/>
  <c r="H10" i="1"/>
  <c r="G10" i="1"/>
  <c r="F10" i="1"/>
  <c r="E10" i="1"/>
  <c r="D10" i="1"/>
  <c r="D9" i="1"/>
  <c r="J9" i="1"/>
  <c r="I9" i="1"/>
  <c r="H9" i="1"/>
  <c r="G9" i="1"/>
  <c r="F9" i="1"/>
  <c r="E9" i="1"/>
  <c r="K9" i="1"/>
  <c r="K7" i="1"/>
  <c r="J7" i="1"/>
  <c r="I7" i="1"/>
  <c r="H7" i="1"/>
  <c r="G7" i="1"/>
  <c r="F7" i="1"/>
  <c r="E7" i="1"/>
  <c r="K6" i="1"/>
  <c r="J6" i="1"/>
  <c r="D6" i="1"/>
  <c r="I6" i="1"/>
  <c r="H6" i="1"/>
  <c r="G6" i="1"/>
  <c r="F6" i="1"/>
  <c r="E6" i="1"/>
  <c r="K4" i="1"/>
  <c r="J4" i="1"/>
  <c r="I4" i="1"/>
  <c r="H4" i="1"/>
  <c r="F4" i="1"/>
  <c r="G4" i="1"/>
</calcChain>
</file>

<file path=xl/sharedStrings.xml><?xml version="1.0" encoding="utf-8"?>
<sst xmlns="http://schemas.openxmlformats.org/spreadsheetml/2006/main" count="60" uniqueCount="25">
  <si>
    <t>Rank ↓</t>
  </si>
  <si>
    <t>Medal →</t>
  </si>
  <si>
    <t>↧</t>
  </si>
  <si>
    <t>↕</t>
  </si>
  <si>
    <t>↥</t>
  </si>
  <si>
    <t>New Rank</t>
  </si>
  <si>
    <t>Copper</t>
  </si>
  <si>
    <t>Bronze</t>
  </si>
  <si>
    <t>Silver</t>
  </si>
  <si>
    <t>Gold</t>
  </si>
  <si>
    <t>Platinum</t>
  </si>
  <si>
    <t>Diamond</t>
  </si>
  <si>
    <t>Master</t>
  </si>
  <si>
    <t>Swift</t>
  </si>
  <si>
    <t xml:space="preserve">Diamond </t>
  </si>
  <si>
    <t>Projeto Swift</t>
  </si>
  <si>
    <t>Fórmula e Excel - @iareec</t>
  </si>
  <si>
    <t>rsm →</t>
  </si>
  <si>
    <t>RS Multiplier (RSM)</t>
  </si>
  <si>
    <t>rsm</t>
  </si>
  <si>
    <t>rsm (0 a 2, intervalo de 0.01*)</t>
  </si>
  <si>
    <t>** - ao alterar os valores mm,
pg e lmhrp no .js, o Excel servirá de nada</t>
  </si>
  <si>
    <t>* - use vírgula</t>
  </si>
  <si>
    <t>Nota: os valores limites do rsm
podem ser alterados no ficheiro
html do ranked sliders. (apenas 
se recomenda aumentar o limite para ranks mais altos, de forma a penalizar menos).</t>
  </si>
  <si>
    <r>
      <t xml:space="preserve">Este ficheiro Excel apenas
pretende mostrar o efeito
que o Ranked Sliders Multiplier
tem na fórmula. O admin 
pode alterar os mesmos valores na página de Ranked Sliders.
O ficheiro Excel não apresenta a fórmula por completo visto que as outras variáveis dependentes são fixas**.
</t>
    </r>
    <r>
      <rPr>
        <b/>
        <sz val="11"/>
        <color theme="0"/>
        <rFont val="Calibri"/>
        <family val="2"/>
        <scheme val="minor"/>
      </rPr>
      <t>NOTA: valores abaixo de 0 ou acima de 5000, no .js são convertidos para 0 ou 5000.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</si>
</sst>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021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402812"/>
        <bgColor indexed="64"/>
      </patternFill>
    </fill>
    <fill>
      <patternFill patternType="solid">
        <fgColor rgb="FF7B4C1E"/>
        <bgColor indexed="64"/>
      </patternFill>
    </fill>
    <fill>
      <patternFill patternType="solid">
        <fgColor rgb="FFA7A7A7"/>
        <bgColor indexed="64"/>
      </patternFill>
    </fill>
    <fill>
      <patternFill patternType="solid">
        <fgColor rgb="FFB19500"/>
        <bgColor indexed="64"/>
      </patternFill>
    </fill>
    <fill>
      <patternFill patternType="solid">
        <fgColor rgb="FFC0BDB9"/>
        <bgColor indexed="64"/>
      </patternFill>
    </fill>
    <fill>
      <patternFill patternType="solid">
        <fgColor rgb="FF295B74"/>
        <bgColor indexed="64"/>
      </patternFill>
    </fill>
    <fill>
      <patternFill patternType="solid">
        <fgColor rgb="FFCD2DCD"/>
        <bgColor indexed="64"/>
      </patternFill>
    </fill>
    <fill>
      <patternFill patternType="solid">
        <fgColor rgb="FF79B637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4343"/>
        <bgColor indexed="64"/>
      </patternFill>
    </fill>
  </fills>
  <borders count="30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6" xfId="0" applyFont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0" borderId="0" xfId="0" applyFont="1" applyFill="1"/>
    <xf numFmtId="0" fontId="0" fillId="2" borderId="3" xfId="0" applyFont="1" applyFill="1" applyBorder="1" applyAlignment="1">
      <alignment horizontal="center"/>
    </xf>
    <xf numFmtId="0" fontId="0" fillId="8" borderId="3" xfId="0" applyFill="1" applyBorder="1"/>
    <xf numFmtId="0" fontId="0" fillId="10" borderId="3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1" borderId="1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Fill="1" applyBorder="1"/>
    <xf numFmtId="0" fontId="0" fillId="0" borderId="0" xfId="0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25" xfId="0" quotePrefix="1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8" xfId="0" applyBorder="1" applyAlignme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7" borderId="23" xfId="0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1" fillId="8" borderId="23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/>
    </xf>
    <xf numFmtId="0" fontId="1" fillId="9" borderId="23" xfId="0" applyFont="1" applyFill="1" applyBorder="1" applyAlignment="1">
      <alignment horizontal="center"/>
    </xf>
    <xf numFmtId="0" fontId="1" fillId="9" borderId="24" xfId="0" applyFont="1" applyFill="1" applyBorder="1" applyAlignment="1">
      <alignment horizontal="center"/>
    </xf>
    <xf numFmtId="0" fontId="1" fillId="10" borderId="23" xfId="0" applyFont="1" applyFill="1" applyBorder="1" applyAlignment="1">
      <alignment horizontal="center"/>
    </xf>
    <xf numFmtId="0" fontId="1" fillId="10" borderId="24" xfId="0" applyFont="1" applyFill="1" applyBorder="1" applyAlignment="1">
      <alignment horizontal="center"/>
    </xf>
    <xf numFmtId="0" fontId="1" fillId="11" borderId="23" xfId="0" applyFont="1" applyFill="1" applyBorder="1" applyAlignment="1">
      <alignment horizontal="center"/>
    </xf>
    <xf numFmtId="0" fontId="1" fillId="11" borderId="24" xfId="0" applyFont="1" applyFill="1" applyBorder="1" applyAlignment="1">
      <alignment horizontal="center"/>
    </xf>
    <xf numFmtId="0" fontId="0" fillId="13" borderId="0" xfId="0" applyFill="1"/>
  </cellXfs>
  <cellStyles count="1">
    <cellStyle name="Normal" xfId="0" builtinId="0"/>
  </cellStyles>
  <dxfs count="104">
    <dxf>
      <fill>
        <patternFill>
          <bgColor theme="7" tint="0.39994506668294322"/>
        </patternFill>
      </fill>
    </dxf>
    <dxf>
      <fill>
        <patternFill>
          <bgColor rgb="FFFF4343"/>
        </patternFill>
      </fill>
    </dxf>
    <dxf>
      <fill>
        <patternFill>
          <bgColor theme="9" tint="0.39994506668294322"/>
        </patternFill>
      </fill>
    </dxf>
    <dxf>
      <fill>
        <patternFill>
          <bgColor rgb="FFFF4343"/>
        </patternFill>
      </fill>
    </dxf>
    <dxf>
      <fill>
        <patternFill>
          <bgColor theme="7" tint="0.39994506668294322"/>
        </patternFill>
      </fill>
    </dxf>
    <dxf>
      <fill>
        <patternFill>
          <bgColor rgb="FFFF4343"/>
        </patternFill>
      </fill>
    </dxf>
    <dxf>
      <fill>
        <patternFill>
          <bgColor theme="7" tint="0.39994506668294322"/>
        </patternFill>
      </fill>
    </dxf>
    <dxf>
      <fill>
        <patternFill>
          <bgColor rgb="FFFF4343"/>
        </patternFill>
      </fill>
    </dxf>
    <dxf>
      <fill>
        <patternFill>
          <bgColor theme="9" tint="0.39994506668294322"/>
        </patternFill>
      </fill>
    </dxf>
    <dxf>
      <fill>
        <patternFill>
          <bgColor rgb="FFFF4343"/>
        </patternFill>
      </fill>
    </dxf>
    <dxf>
      <fill>
        <patternFill>
          <bgColor theme="7" tint="0.39994506668294322"/>
        </patternFill>
      </fill>
    </dxf>
    <dxf>
      <fill>
        <patternFill>
          <bgColor rgb="FFFF4343"/>
        </patternFill>
      </fill>
    </dxf>
    <dxf>
      <fill>
        <patternFill>
          <bgColor theme="7" tint="0.39994506668294322"/>
        </patternFill>
      </fill>
    </dxf>
    <dxf>
      <fill>
        <patternFill>
          <bgColor rgb="FFFF4343"/>
        </patternFill>
      </fill>
    </dxf>
    <dxf>
      <fill>
        <patternFill>
          <bgColor theme="9" tint="0.39994506668294322"/>
        </patternFill>
      </fill>
    </dxf>
    <dxf>
      <fill>
        <patternFill>
          <bgColor rgb="FFFF4343"/>
        </patternFill>
      </fill>
    </dxf>
    <dxf>
      <fill>
        <patternFill>
          <bgColor theme="7" tint="0.39994506668294322"/>
        </patternFill>
      </fill>
    </dxf>
    <dxf>
      <fill>
        <patternFill>
          <bgColor rgb="FFFF4343"/>
        </patternFill>
      </fill>
    </dxf>
    <dxf>
      <fill>
        <patternFill>
          <bgColor theme="7" tint="0.39994506668294322"/>
        </patternFill>
      </fill>
    </dxf>
    <dxf>
      <fill>
        <patternFill>
          <bgColor rgb="FFFF4343"/>
        </patternFill>
      </fill>
    </dxf>
    <dxf>
      <fill>
        <patternFill>
          <bgColor theme="9" tint="0.39994506668294322"/>
        </patternFill>
      </fill>
    </dxf>
    <dxf>
      <fill>
        <patternFill>
          <bgColor rgb="FFFF4343"/>
        </patternFill>
      </fill>
    </dxf>
    <dxf>
      <fill>
        <patternFill>
          <bgColor theme="7" tint="0.39994506668294322"/>
        </patternFill>
      </fill>
    </dxf>
    <dxf>
      <fill>
        <patternFill>
          <bgColor rgb="FFFF4343"/>
        </patternFill>
      </fill>
    </dxf>
    <dxf>
      <fill>
        <patternFill>
          <bgColor theme="7" tint="0.39994506668294322"/>
        </patternFill>
      </fill>
    </dxf>
    <dxf>
      <fill>
        <patternFill>
          <bgColor rgb="FFFF4343"/>
        </patternFill>
      </fill>
    </dxf>
    <dxf>
      <fill>
        <patternFill>
          <bgColor theme="9" tint="0.39994506668294322"/>
        </patternFill>
      </fill>
    </dxf>
    <dxf>
      <fill>
        <patternFill>
          <bgColor rgb="FFFF4343"/>
        </patternFill>
      </fill>
    </dxf>
    <dxf>
      <fill>
        <patternFill>
          <bgColor theme="7" tint="0.39994506668294322"/>
        </patternFill>
      </fill>
    </dxf>
    <dxf>
      <fill>
        <patternFill>
          <bgColor rgb="FFFF4343"/>
        </patternFill>
      </fill>
    </dxf>
    <dxf>
      <fill>
        <patternFill>
          <bgColor theme="7" tint="0.39994506668294322"/>
        </patternFill>
      </fill>
    </dxf>
    <dxf>
      <fill>
        <patternFill>
          <bgColor rgb="FFFF4343"/>
        </patternFill>
      </fill>
    </dxf>
    <dxf>
      <fill>
        <patternFill>
          <bgColor theme="9" tint="0.39994506668294322"/>
        </patternFill>
      </fill>
    </dxf>
    <dxf>
      <fill>
        <patternFill>
          <bgColor rgb="FFFF4343"/>
        </patternFill>
      </fill>
    </dxf>
    <dxf>
      <fill>
        <patternFill>
          <bgColor theme="7" tint="0.39994506668294322"/>
        </patternFill>
      </fill>
    </dxf>
    <dxf>
      <fill>
        <patternFill>
          <bgColor rgb="FFFF4343"/>
        </patternFill>
      </fill>
    </dxf>
    <dxf>
      <fill>
        <patternFill>
          <bgColor theme="7" tint="0.39994506668294322"/>
        </patternFill>
      </fill>
    </dxf>
    <dxf>
      <fill>
        <patternFill>
          <bgColor rgb="FFFF4343"/>
        </patternFill>
      </fill>
    </dxf>
    <dxf>
      <fill>
        <patternFill>
          <bgColor theme="9" tint="0.39994506668294322"/>
        </patternFill>
      </fill>
    </dxf>
    <dxf>
      <fill>
        <patternFill>
          <bgColor rgb="FFFF4343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4343"/>
        </patternFill>
      </fill>
    </dxf>
    <dxf>
      <fill>
        <patternFill>
          <bgColor rgb="FFFF4343"/>
        </patternFill>
      </fill>
    </dxf>
    <dxf>
      <fill>
        <patternFill>
          <bgColor theme="7" tint="0.39994506668294322"/>
        </patternFill>
      </fill>
    </dxf>
    <dxf>
      <fill>
        <patternFill>
          <bgColor rgb="FFFF4343"/>
        </patternFill>
      </fill>
    </dxf>
    <dxf>
      <fill>
        <patternFill>
          <bgColor theme="9" tint="0.39994506668294322"/>
        </patternFill>
      </fill>
    </dxf>
    <dxf>
      <fill>
        <patternFill>
          <bgColor rgb="FFFF4343"/>
        </patternFill>
      </fill>
    </dxf>
    <dxf>
      <fill>
        <patternFill>
          <bgColor theme="7" tint="0.39994506668294322"/>
        </patternFill>
      </fill>
    </dxf>
    <dxf>
      <fill>
        <patternFill>
          <bgColor rgb="FFFF4343"/>
        </patternFill>
      </fill>
    </dxf>
    <dxf>
      <fill>
        <patternFill>
          <bgColor theme="7" tint="0.39994506668294322"/>
        </patternFill>
      </fill>
    </dxf>
    <dxf>
      <fill>
        <patternFill>
          <bgColor rgb="FFFF4343"/>
        </patternFill>
      </fill>
    </dxf>
    <dxf>
      <fill>
        <patternFill>
          <bgColor theme="9" tint="0.39994506668294322"/>
        </patternFill>
      </fill>
    </dxf>
    <dxf>
      <fill>
        <patternFill>
          <bgColor rgb="FFFF4343"/>
        </patternFill>
      </fill>
    </dxf>
    <dxf>
      <fill>
        <patternFill>
          <bgColor theme="7" tint="0.39994506668294322"/>
        </patternFill>
      </fill>
    </dxf>
    <dxf>
      <fill>
        <patternFill>
          <bgColor rgb="FFFF4343"/>
        </patternFill>
      </fill>
    </dxf>
    <dxf>
      <fill>
        <patternFill>
          <bgColor theme="7" tint="0.39994506668294322"/>
        </patternFill>
      </fill>
    </dxf>
    <dxf>
      <fill>
        <patternFill>
          <bgColor rgb="FFFF4343"/>
        </patternFill>
      </fill>
    </dxf>
    <dxf>
      <fill>
        <patternFill>
          <bgColor theme="9" tint="0.39994506668294322"/>
        </patternFill>
      </fill>
    </dxf>
    <dxf>
      <fill>
        <patternFill>
          <bgColor rgb="FFFF4343"/>
        </patternFill>
      </fill>
    </dxf>
    <dxf>
      <fill>
        <patternFill>
          <bgColor theme="7" tint="0.39994506668294322"/>
        </patternFill>
      </fill>
    </dxf>
    <dxf>
      <fill>
        <patternFill>
          <bgColor rgb="FFFF4343"/>
        </patternFill>
      </fill>
    </dxf>
    <dxf>
      <fill>
        <patternFill>
          <bgColor theme="7" tint="0.39994506668294322"/>
        </patternFill>
      </fill>
    </dxf>
    <dxf>
      <fill>
        <patternFill>
          <bgColor rgb="FFFF4343"/>
        </patternFill>
      </fill>
    </dxf>
    <dxf>
      <fill>
        <patternFill>
          <bgColor theme="9" tint="0.39994506668294322"/>
        </patternFill>
      </fill>
    </dxf>
    <dxf>
      <fill>
        <patternFill>
          <bgColor rgb="FFFF4343"/>
        </patternFill>
      </fill>
    </dxf>
    <dxf>
      <fill>
        <patternFill>
          <bgColor theme="7" tint="0.39994506668294322"/>
        </patternFill>
      </fill>
    </dxf>
    <dxf>
      <fill>
        <patternFill>
          <bgColor rgb="FFFF4343"/>
        </patternFill>
      </fill>
    </dxf>
    <dxf>
      <fill>
        <patternFill>
          <bgColor rgb="FFFF4343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4343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4343"/>
        </patternFill>
      </fill>
    </dxf>
    <dxf>
      <fill>
        <patternFill>
          <bgColor theme="9" tint="0.39994506668294322"/>
        </patternFill>
      </fill>
    </dxf>
    <dxf>
      <fill>
        <patternFill>
          <bgColor rgb="FFFF4343"/>
        </patternFill>
      </fill>
    </dxf>
    <dxf>
      <fill>
        <patternFill>
          <bgColor theme="7" tint="0.39994506668294322"/>
        </patternFill>
      </fill>
    </dxf>
    <dxf>
      <fill>
        <patternFill>
          <bgColor rgb="FFFF4343"/>
        </patternFill>
      </fill>
    </dxf>
    <dxf>
      <fill>
        <patternFill>
          <bgColor rgb="FFFF4343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4343"/>
        </patternFill>
      </fill>
    </dxf>
    <dxf>
      <fill>
        <patternFill>
          <bgColor theme="7" tint="0.39994506668294322"/>
        </patternFill>
      </fill>
    </dxf>
    <dxf>
      <fill>
        <patternFill>
          <bgColor rgb="FFFF4343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4343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4343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4343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4343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4343"/>
      <color rgb="FFA7682F"/>
      <color rgb="FF402812"/>
      <color rgb="FF79B637"/>
      <color rgb="FFCD2DCD"/>
      <color rgb="FF295B74"/>
      <color rgb="FFC0BDB9"/>
      <color rgb="FFB19500"/>
      <color rgb="FFA7A7A7"/>
      <color rgb="FF7B4C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6421-0B3E-4C38-8401-628F25AD21D5}">
  <dimension ref="A1:S27"/>
  <sheetViews>
    <sheetView tabSelected="1" zoomScaleNormal="100" workbookViewId="0">
      <selection activeCell="V7" sqref="V7"/>
    </sheetView>
  </sheetViews>
  <sheetFormatPr defaultRowHeight="14.4" x14ac:dyDescent="0.3"/>
  <cols>
    <col min="1" max="1" width="3.21875" customWidth="1"/>
    <col min="2" max="2" width="8.88671875" customWidth="1"/>
  </cols>
  <sheetData>
    <row r="1" spans="1:19" ht="15" thickBot="1" x14ac:dyDescent="0.35">
      <c r="A1" s="39"/>
      <c r="B1" s="42"/>
      <c r="C1" s="45"/>
      <c r="D1" s="48"/>
      <c r="E1" s="49"/>
      <c r="F1" s="50"/>
      <c r="G1" s="51"/>
      <c r="H1" s="46"/>
      <c r="I1" s="52"/>
      <c r="J1" s="47"/>
      <c r="K1" s="53"/>
      <c r="M1" s="59" t="s">
        <v>18</v>
      </c>
      <c r="N1" s="60"/>
      <c r="O1" s="73" t="s">
        <v>19</v>
      </c>
    </row>
    <row r="2" spans="1:19" ht="15" thickBot="1" x14ac:dyDescent="0.35">
      <c r="A2" s="40"/>
      <c r="B2" s="43"/>
      <c r="C2" s="57" t="s">
        <v>1</v>
      </c>
      <c r="D2" s="66" t="s">
        <v>6</v>
      </c>
      <c r="E2" s="67" t="s">
        <v>7</v>
      </c>
      <c r="F2" s="67" t="s">
        <v>8</v>
      </c>
      <c r="G2" s="67" t="s">
        <v>9</v>
      </c>
      <c r="H2" s="66" t="s">
        <v>10</v>
      </c>
      <c r="I2" s="67" t="s">
        <v>14</v>
      </c>
      <c r="J2" s="66" t="s">
        <v>12</v>
      </c>
      <c r="K2" s="68" t="s">
        <v>13</v>
      </c>
      <c r="M2" s="62" t="s">
        <v>6</v>
      </c>
      <c r="N2" s="3" t="s">
        <v>17</v>
      </c>
      <c r="O2" s="63">
        <v>1</v>
      </c>
    </row>
    <row r="3" spans="1:19" ht="15" thickBot="1" x14ac:dyDescent="0.35">
      <c r="A3" s="41"/>
      <c r="B3" s="38"/>
      <c r="C3" s="44" t="s">
        <v>0</v>
      </c>
      <c r="D3" s="54" t="s">
        <v>5</v>
      </c>
      <c r="E3" s="55"/>
      <c r="F3" s="55"/>
      <c r="G3" s="55"/>
      <c r="H3" s="55"/>
      <c r="I3" s="55"/>
      <c r="J3" s="55"/>
      <c r="K3" s="56"/>
      <c r="M3" s="64" t="s">
        <v>7</v>
      </c>
      <c r="N3" s="58" t="s">
        <v>17</v>
      </c>
      <c r="O3" s="65">
        <v>1</v>
      </c>
    </row>
    <row r="4" spans="1:19" x14ac:dyDescent="0.3">
      <c r="A4" s="4"/>
      <c r="B4" s="28" t="s">
        <v>6</v>
      </c>
      <c r="C4" s="34">
        <v>0</v>
      </c>
      <c r="D4" s="81">
        <f>ROUND((O2*168.96) - 105.6,0)</f>
        <v>63</v>
      </c>
      <c r="E4" s="82">
        <f>ROUND((O2*189.929) - 71.904,0)</f>
        <v>118</v>
      </c>
      <c r="F4" s="82">
        <f>ROUND((O2*214.841) - 34.776,0)</f>
        <v>180</v>
      </c>
      <c r="G4" s="82">
        <f>ROUND((O2*240),0)</f>
        <v>240</v>
      </c>
      <c r="H4" s="82">
        <f>ROUND((O2*311.04) - (-86.4),0)</f>
        <v>397</v>
      </c>
      <c r="I4" s="82">
        <f>ROUND((O2*376.32) - (-153.6),0)</f>
        <v>530</v>
      </c>
      <c r="J4" s="82">
        <f>ROUND((O2*430.08) - (-201.6),0)</f>
        <v>632</v>
      </c>
      <c r="K4" s="83">
        <f>ROUND((O2*480) - (-240),0)</f>
        <v>720</v>
      </c>
      <c r="M4" s="64" t="s">
        <v>8</v>
      </c>
      <c r="N4" s="58" t="s">
        <v>17</v>
      </c>
      <c r="O4" s="65">
        <v>1</v>
      </c>
      <c r="R4" s="115"/>
    </row>
    <row r="5" spans="1:19" x14ac:dyDescent="0.3">
      <c r="A5" s="5"/>
      <c r="B5" s="29"/>
      <c r="C5" s="33" t="s">
        <v>2</v>
      </c>
      <c r="D5" s="99" t="s">
        <v>2</v>
      </c>
      <c r="E5" s="99"/>
      <c r="F5" s="99"/>
      <c r="G5" s="99"/>
      <c r="H5" s="99"/>
      <c r="I5" s="99"/>
      <c r="J5" s="99"/>
      <c r="K5" s="100"/>
      <c r="M5" s="64" t="s">
        <v>9</v>
      </c>
      <c r="N5" s="58" t="s">
        <v>17</v>
      </c>
      <c r="O5" s="65">
        <v>1</v>
      </c>
    </row>
    <row r="6" spans="1:19" ht="15" thickBot="1" x14ac:dyDescent="0.35">
      <c r="A6" s="6"/>
      <c r="B6" s="30"/>
      <c r="C6" s="31">
        <v>999</v>
      </c>
      <c r="D6" s="79">
        <f>999 + ROUND((O2*168.96) - 105.6 - 13.32,0)</f>
        <v>1049</v>
      </c>
      <c r="E6" s="79">
        <f>999 + ROUND((O2*189.929) - 71.904 - 12.654,0)</f>
        <v>1104</v>
      </c>
      <c r="F6" s="79">
        <f>999 + ROUND((O2*214.841) - 34.776 - 11.877,0)</f>
        <v>1167</v>
      </c>
      <c r="G6" s="79">
        <f>999 + ROUND((O2*240) - 11.1,0)</f>
        <v>1228</v>
      </c>
      <c r="H6" s="79">
        <f>999 + ROUND((O2*311.04) - (-86.4) - 8.88,0)</f>
        <v>1388</v>
      </c>
      <c r="I6" s="79">
        <f>999 + ROUND((O2*376.32) - (-153.6) - 6.66,0)</f>
        <v>1522</v>
      </c>
      <c r="J6" s="79">
        <f>999 + ROUND((O2*403.08) - (-201.6) - 4.444,0)</f>
        <v>1599</v>
      </c>
      <c r="K6" s="80">
        <f>999 + ROUND((O2*480) - (-240),0)</f>
        <v>1719</v>
      </c>
      <c r="M6" s="64" t="s">
        <v>10</v>
      </c>
      <c r="N6" s="58" t="s">
        <v>17</v>
      </c>
      <c r="O6" s="65">
        <v>1</v>
      </c>
    </row>
    <row r="7" spans="1:19" x14ac:dyDescent="0.3">
      <c r="A7" s="7"/>
      <c r="B7" s="28" t="s">
        <v>7</v>
      </c>
      <c r="C7" s="35">
        <v>1000</v>
      </c>
      <c r="D7" s="74">
        <f>1000 + ROUND((O3*154.88) - 112.262 - 13.333,0)</f>
        <v>1029</v>
      </c>
      <c r="E7" s="74">
        <f>1000 + ROUND((O3*174.102) - 76.44 - 12.667,0)</f>
        <v>1085</v>
      </c>
      <c r="F7" s="74">
        <f>1000 + ROUND((O3*196.938) - 36.969 - 11.889,0)</f>
        <v>1148</v>
      </c>
      <c r="G7" s="74">
        <f>1000 + ROUND((O3*220) - 11.111,0)</f>
        <v>1209</v>
      </c>
      <c r="H7" s="74">
        <f>1000 + ROUND((O3*285.12) - (-91.851) - 8.889,0)</f>
        <v>1368</v>
      </c>
      <c r="I7" s="74">
        <f>1000 + ROUND((O3*344.96) - (-163.291) - 6.667,0)</f>
        <v>1502</v>
      </c>
      <c r="J7" s="74">
        <f>1000 + ROUND((O3*394.24) - (-214.319) - 4.444,0)</f>
        <v>1604</v>
      </c>
      <c r="K7" s="75">
        <f>1000 + ROUND((O3*440) - (-255.141),0)</f>
        <v>1695</v>
      </c>
      <c r="M7" s="64" t="s">
        <v>11</v>
      </c>
      <c r="N7" s="58" t="s">
        <v>17</v>
      </c>
      <c r="O7" s="65">
        <v>1</v>
      </c>
    </row>
    <row r="8" spans="1:19" x14ac:dyDescent="0.3">
      <c r="A8" s="8"/>
      <c r="B8" s="29"/>
      <c r="C8" s="36" t="s">
        <v>3</v>
      </c>
      <c r="D8" s="101" t="s">
        <v>3</v>
      </c>
      <c r="E8" s="101"/>
      <c r="F8" s="101"/>
      <c r="G8" s="101"/>
      <c r="H8" s="101"/>
      <c r="I8" s="101"/>
      <c r="J8" s="101"/>
      <c r="K8" s="102"/>
      <c r="M8" s="64" t="s">
        <v>12</v>
      </c>
      <c r="N8" s="58" t="s">
        <v>17</v>
      </c>
      <c r="O8" s="65">
        <v>1</v>
      </c>
    </row>
    <row r="9" spans="1:19" ht="15" thickBot="1" x14ac:dyDescent="0.35">
      <c r="A9" s="9"/>
      <c r="B9" s="30"/>
      <c r="C9" s="32">
        <v>1499</v>
      </c>
      <c r="D9" s="78">
        <f>1499 + ROUND((O3*154.88) - 112.262 - 19.987,0)</f>
        <v>1522</v>
      </c>
      <c r="E9" s="76">
        <f>1499 + ROUND((O3*174.102) - 76.44 - 18.988,0)</f>
        <v>1578</v>
      </c>
      <c r="F9" s="76">
        <f>1499 + ROUND((O3*196.938) - 36.969 - 17.822,0)</f>
        <v>1641</v>
      </c>
      <c r="G9" s="76">
        <f>1499 + ROUND((O3*220) - 16.656,0)</f>
        <v>1702</v>
      </c>
      <c r="H9" s="76">
        <f>1499 + ROUND((O3*285.12) - (-91.851) - 13.325,0)</f>
        <v>1863</v>
      </c>
      <c r="I9" s="76">
        <f>1499 + ROUND((O3*344.96) - (-163.291) - 9.994,0)</f>
        <v>1997</v>
      </c>
      <c r="J9" s="76">
        <f>1499 + ROUND((O3*394.24) - (-214.319) - 6.662,0)</f>
        <v>2101</v>
      </c>
      <c r="K9" s="77">
        <f>1499 + ROUND((O3*440) - (-255.141),0)</f>
        <v>2194</v>
      </c>
      <c r="M9" s="64" t="s">
        <v>13</v>
      </c>
      <c r="N9" s="58" t="s">
        <v>17</v>
      </c>
      <c r="O9" s="65">
        <v>1</v>
      </c>
    </row>
    <row r="10" spans="1:19" ht="15" thickBot="1" x14ac:dyDescent="0.35">
      <c r="A10" s="10"/>
      <c r="B10" s="28" t="s">
        <v>8</v>
      </c>
      <c r="C10" s="35">
        <v>1500</v>
      </c>
      <c r="D10" s="84">
        <f>1500 + ROUND((O4*140.8) - 119.645 - 20,0)</f>
        <v>1501</v>
      </c>
      <c r="E10" s="84">
        <f>1500 + ROUND((O4*158.274) - 81.467 - 19,0)</f>
        <v>1558</v>
      </c>
      <c r="F10" s="84">
        <f>1500 + ROUND((O4*179.034) - 39.401 - 17.834,0)</f>
        <v>1622</v>
      </c>
      <c r="G10" s="84">
        <f>1500 + ROUND((O4*200) - 16.667,0)</f>
        <v>1683</v>
      </c>
      <c r="H10" s="84">
        <f>1500 + ROUND((O4*259.2) - (-97.891) - 13.334,0)</f>
        <v>1844</v>
      </c>
      <c r="I10" s="84">
        <f>1500 + ROUND((O4*313.6) - (-174.029) - 10,0)</f>
        <v>1978</v>
      </c>
      <c r="J10" s="84">
        <f>1500 + ROUND((O4*358.4) - (-228.413) - 6.667,0)</f>
        <v>2080</v>
      </c>
      <c r="K10" s="75">
        <f>1500 + ROUND((O4*400) - (-271.92),0)</f>
        <v>2172</v>
      </c>
      <c r="M10" s="70" t="s">
        <v>20</v>
      </c>
      <c r="N10" s="71"/>
      <c r="O10" s="72"/>
      <c r="P10" s="86"/>
      <c r="Q10" s="2"/>
    </row>
    <row r="11" spans="1:19" ht="15" thickBot="1" x14ac:dyDescent="0.35">
      <c r="A11" s="11"/>
      <c r="B11" s="29"/>
      <c r="C11" s="36" t="s">
        <v>3</v>
      </c>
      <c r="D11" s="103" t="s">
        <v>3</v>
      </c>
      <c r="E11" s="103"/>
      <c r="F11" s="103"/>
      <c r="G11" s="103"/>
      <c r="H11" s="103"/>
      <c r="I11" s="103"/>
      <c r="J11" s="103"/>
      <c r="K11" s="104"/>
    </row>
    <row r="12" spans="1:19" ht="15" customHeight="1" thickBot="1" x14ac:dyDescent="0.35">
      <c r="A12" s="12"/>
      <c r="B12" s="30"/>
      <c r="C12" s="32">
        <v>1999</v>
      </c>
      <c r="D12" s="85">
        <f>1999 + ROUND((O4*140.8) - 119.645 - 26.653,0)</f>
        <v>1994</v>
      </c>
      <c r="E12" s="85">
        <f>1999 + ROUND((O4*158.274) - 81.467 - 25.321,0)</f>
        <v>2050</v>
      </c>
      <c r="F12" s="85">
        <f>1999 + ROUND((O4*179.034) - 39.401 - 23.766,0)</f>
        <v>2115</v>
      </c>
      <c r="G12" s="85">
        <f>1999 + ROUND((O4*200) - 22.211,0)</f>
        <v>2177</v>
      </c>
      <c r="H12" s="85">
        <f>1999 + ROUND((O4*259.2) - (-97.891) - 17.769,0)</f>
        <v>2338</v>
      </c>
      <c r="I12" s="85">
        <f>1999 + ROUND((O4*313.6) - (-174.029) - 13.327,0)</f>
        <v>2473</v>
      </c>
      <c r="J12" s="85">
        <f>1999 + ROUND((O4*358.4) - (-228.413) - 8.884,0)</f>
        <v>2577</v>
      </c>
      <c r="K12" s="77">
        <f>1999 + ROUND((O4*400) - (-271.92),0)</f>
        <v>2671</v>
      </c>
      <c r="M12" s="90" t="s">
        <v>24</v>
      </c>
      <c r="N12" s="91"/>
      <c r="O12" s="92"/>
    </row>
    <row r="13" spans="1:19" x14ac:dyDescent="0.3">
      <c r="A13" s="13"/>
      <c r="B13" s="28" t="s">
        <v>9</v>
      </c>
      <c r="C13" s="35">
        <v>2000</v>
      </c>
      <c r="D13" s="84">
        <f>2000 + ROUND((O5*126.72) - 128.214 - 26.666,0)</f>
        <v>1972</v>
      </c>
      <c r="E13" s="84">
        <f>2000 + ROUND((O5*142.447) - 87.302 - 25.333,0)</f>
        <v>2030</v>
      </c>
      <c r="F13" s="84">
        <f>2000 + ROUND((O5*161.131) - 42.223 - 23.778,0)</f>
        <v>2095</v>
      </c>
      <c r="G13" s="84">
        <f>2000 + ROUND((O5*180) - 22.222,0)</f>
        <v>2158</v>
      </c>
      <c r="H13" s="84">
        <f>2000 + ROUND((O5*233.28) - (-104.903) - 17.778,0)</f>
        <v>2320</v>
      </c>
      <c r="I13" s="84">
        <f>2000 + ROUND((O5*282.24) - (-186.493) - 13.333,0)</f>
        <v>2455</v>
      </c>
      <c r="J13" s="84">
        <f>2000 + ROUND((O5*322.56) - (-244.773) - 8.889,0)</f>
        <v>2558</v>
      </c>
      <c r="K13" s="75">
        <f>2000 + ROUND((O5*360) - (-291.396),0)</f>
        <v>2651</v>
      </c>
      <c r="M13" s="93"/>
      <c r="N13" s="94"/>
      <c r="O13" s="95"/>
    </row>
    <row r="14" spans="1:19" x14ac:dyDescent="0.3">
      <c r="A14" s="14"/>
      <c r="B14" s="29"/>
      <c r="C14" s="36" t="s">
        <v>3</v>
      </c>
      <c r="D14" s="105" t="s">
        <v>3</v>
      </c>
      <c r="E14" s="105"/>
      <c r="F14" s="105"/>
      <c r="G14" s="105"/>
      <c r="H14" s="105"/>
      <c r="I14" s="105"/>
      <c r="J14" s="105"/>
      <c r="K14" s="106"/>
      <c r="M14" s="93"/>
      <c r="N14" s="94"/>
      <c r="O14" s="95"/>
      <c r="Q14" s="89" t="s">
        <v>22</v>
      </c>
      <c r="R14" s="89"/>
      <c r="S14" s="89"/>
    </row>
    <row r="15" spans="1:19" ht="15" thickBot="1" x14ac:dyDescent="0.35">
      <c r="A15" s="15"/>
      <c r="B15" s="30"/>
      <c r="C15" s="32">
        <v>2499</v>
      </c>
      <c r="D15" s="85">
        <f>2499 + ROUND((O5*126.72) - 128.214 - 33.32,0)</f>
        <v>2464</v>
      </c>
      <c r="E15" s="85">
        <f>2499 + ROUND((O5*142.447) - 87.302 - 31.654,0)</f>
        <v>2522</v>
      </c>
      <c r="F15" s="85">
        <f>2499 + ROUND((O5*161.131) - 42.223 - 29.711,0)</f>
        <v>2588</v>
      </c>
      <c r="G15" s="85">
        <f>2499 + ROUND((O5*180) - 27.767,0)</f>
        <v>2651</v>
      </c>
      <c r="H15" s="85">
        <f>2499 + ROUND((O5*233.28) - (-104.903) - 22.214,0)</f>
        <v>2815</v>
      </c>
      <c r="I15" s="85">
        <f>2499 + ROUND((O5*282.24) - (-186.493) - 16.66,0)</f>
        <v>2951</v>
      </c>
      <c r="J15" s="85">
        <f>2499 + ROUND((O5*322.56) - (-244.773) - 11.107,0)</f>
        <v>3055</v>
      </c>
      <c r="K15" s="77">
        <f>2499 + ROUND((O5*360) - (-291.396),0)</f>
        <v>3150</v>
      </c>
      <c r="M15" s="93"/>
      <c r="N15" s="94"/>
      <c r="O15" s="95"/>
      <c r="Q15" s="88" t="s">
        <v>21</v>
      </c>
      <c r="R15" s="88"/>
      <c r="S15" s="88"/>
    </row>
    <row r="16" spans="1:19" x14ac:dyDescent="0.3">
      <c r="A16" s="16"/>
      <c r="B16" s="28" t="s">
        <v>10</v>
      </c>
      <c r="C16" s="35">
        <v>2500</v>
      </c>
      <c r="D16" s="84">
        <f>2500 + ROUND((O6*112.64) - 207.188 - 33.334,0)</f>
        <v>2372</v>
      </c>
      <c r="E16" s="84">
        <f>2500 + ROUND((O6*126.62) - 94.05 - 31.667,0)</f>
        <v>2501</v>
      </c>
      <c r="F16" s="84">
        <f>2500 + ROUND((O6*143.227) - 45.487 - 29.722,0)</f>
        <v>2568</v>
      </c>
      <c r="G16" s="84">
        <f>2500 + ROUND((O6*160) - 27.778,0)</f>
        <v>2632</v>
      </c>
      <c r="H16" s="84">
        <f>2500 + ROUND((O6*207.36) - (-113.011) - 22.222,0)</f>
        <v>2798</v>
      </c>
      <c r="I16" s="84">
        <f>2500 + ROUND((O6*250.88) - (-200.909) - 16.667,0)</f>
        <v>2935</v>
      </c>
      <c r="J16" s="84">
        <f>2500 + ROUND((O6*286.72) - (-263.693) - 11.111,0)</f>
        <v>3039</v>
      </c>
      <c r="K16" s="75">
        <f>2500 + ROUND((O6*320) - (-313.92),0)</f>
        <v>3134</v>
      </c>
      <c r="M16" s="93"/>
      <c r="N16" s="94"/>
      <c r="O16" s="95"/>
      <c r="Q16" s="88"/>
      <c r="R16" s="88"/>
      <c r="S16" s="88"/>
    </row>
    <row r="17" spans="1:19" x14ac:dyDescent="0.3">
      <c r="A17" s="17"/>
      <c r="B17" s="29"/>
      <c r="C17" s="36" t="s">
        <v>3</v>
      </c>
      <c r="D17" s="107" t="s">
        <v>3</v>
      </c>
      <c r="E17" s="107"/>
      <c r="F17" s="107"/>
      <c r="G17" s="107"/>
      <c r="H17" s="107"/>
      <c r="I17" s="107"/>
      <c r="J17" s="107"/>
      <c r="K17" s="108"/>
      <c r="M17" s="93"/>
      <c r="N17" s="94"/>
      <c r="O17" s="95"/>
      <c r="Q17" s="88"/>
      <c r="R17" s="88"/>
      <c r="S17" s="88"/>
    </row>
    <row r="18" spans="1:19" ht="15" thickBot="1" x14ac:dyDescent="0.35">
      <c r="A18" s="18"/>
      <c r="B18" s="30"/>
      <c r="C18" s="32">
        <v>2999</v>
      </c>
      <c r="D18" s="85">
        <f>2999 + ROUND((O6*112.64) - 207.188 - 39.986,0)</f>
        <v>2864</v>
      </c>
      <c r="E18" s="85">
        <f>2999 + ROUND((O6*126.62) - 94.05 - 37.987,0)</f>
        <v>2994</v>
      </c>
      <c r="F18" s="85">
        <f>2999 + ROUND((O6*143.227) - 45.487 - 35.655,0)</f>
        <v>3061</v>
      </c>
      <c r="G18" s="85">
        <f>2999 + ROUND((O6*160) - 33.322,0)</f>
        <v>3126</v>
      </c>
      <c r="H18" s="85">
        <f>2999 + ROUND((O6*207.36) - (-113.011) - 26.658,0)</f>
        <v>3293</v>
      </c>
      <c r="I18" s="85">
        <f>2999 + ROUND((O6*250.88) - (-200.909) - 19.993,0)</f>
        <v>3431</v>
      </c>
      <c r="J18" s="85">
        <f>2999 + ROUND((O6*286.72) - (-263.693) - 13.329,0)</f>
        <v>3536</v>
      </c>
      <c r="K18" s="77">
        <f>2999 + ROUND((O6*320) - (-313.92),0)</f>
        <v>3633</v>
      </c>
      <c r="M18" s="93"/>
      <c r="N18" s="94"/>
      <c r="O18" s="95"/>
      <c r="Q18" s="69" t="s">
        <v>23</v>
      </c>
      <c r="R18" s="1"/>
      <c r="S18" s="1"/>
    </row>
    <row r="19" spans="1:19" x14ac:dyDescent="0.3">
      <c r="A19" s="19"/>
      <c r="B19" s="28" t="s">
        <v>11</v>
      </c>
      <c r="C19" s="35">
        <v>3000</v>
      </c>
      <c r="D19" s="84">
        <f>3000 + ROUND((O7*84.48) - 285.516 - 40,0)</f>
        <v>2759</v>
      </c>
      <c r="E19" s="84">
        <f>3000 + ROUND((O7*94.965) - 111.092 - 38,0)</f>
        <v>2946</v>
      </c>
      <c r="F19" s="84">
        <f>3000 + ROUND((O7*107.421) - 53.729 - 35.666,0)</f>
        <v>3018</v>
      </c>
      <c r="G19" s="84">
        <f>3000 + ROUND((O7*120) - 33.333,0)</f>
        <v>3087</v>
      </c>
      <c r="H19" s="84">
        <f>3000 + ROUND((O7*155.52) - (-133.488) - 26.666,0)</f>
        <v>3262</v>
      </c>
      <c r="I19" s="84">
        <f>3000 + ROUND((O7*188.16) - (-237.312) - 20,0)</f>
        <v>3405</v>
      </c>
      <c r="J19" s="84">
        <f>3000 + ROUND((O7*215.04) - (-311.472) - 13.333,0)</f>
        <v>3513</v>
      </c>
      <c r="K19" s="75">
        <f>3000 + ROUND((O7*240) - (-370.8),0)</f>
        <v>3611</v>
      </c>
      <c r="M19" s="93"/>
      <c r="N19" s="94"/>
      <c r="O19" s="95"/>
      <c r="Q19" s="1"/>
      <c r="R19" s="1"/>
      <c r="S19" s="1"/>
    </row>
    <row r="20" spans="1:19" x14ac:dyDescent="0.3">
      <c r="A20" s="20"/>
      <c r="B20" s="29"/>
      <c r="C20" s="36" t="s">
        <v>3</v>
      </c>
      <c r="D20" s="109" t="s">
        <v>3</v>
      </c>
      <c r="E20" s="109"/>
      <c r="F20" s="109"/>
      <c r="G20" s="109"/>
      <c r="H20" s="109"/>
      <c r="I20" s="109"/>
      <c r="J20" s="109"/>
      <c r="K20" s="110"/>
      <c r="M20" s="93"/>
      <c r="N20" s="94"/>
      <c r="O20" s="95"/>
      <c r="Q20" s="1"/>
      <c r="R20" s="1"/>
      <c r="S20" s="1"/>
    </row>
    <row r="21" spans="1:19" ht="15" thickBot="1" x14ac:dyDescent="0.35">
      <c r="A21" s="21"/>
      <c r="B21" s="30"/>
      <c r="C21" s="32">
        <v>3499</v>
      </c>
      <c r="D21" s="85">
        <f>3499 + ROUND((O7*84.48) - 285.516 - 46.654,0)</f>
        <v>3251</v>
      </c>
      <c r="E21" s="85">
        <f>3499 + ROUND((O7*94.965) - 111.092 - 44.321,0)</f>
        <v>3439</v>
      </c>
      <c r="F21" s="85">
        <f>3499 + ROUND((O7*107.421) - 53.729 - 41.599,0)</f>
        <v>3511</v>
      </c>
      <c r="G21" s="85">
        <f>3499 + ROUND((O7*120) - 38.878,0)</f>
        <v>3580</v>
      </c>
      <c r="H21" s="85">
        <f>3499 + ROUND((O7*155.52) - (-133.488) - 31.102,0)</f>
        <v>3757</v>
      </c>
      <c r="I21" s="85">
        <f>3499 + ROUND((O7*188.16) - (-237.312) - 23.327,0)</f>
        <v>3901</v>
      </c>
      <c r="J21" s="85">
        <f>3499 + ROUND((O7*215.04) - (-311.472) - 15.551,0)</f>
        <v>4010</v>
      </c>
      <c r="K21" s="77">
        <f>3499 + ROUND((O7*240) - (-370.8),0)</f>
        <v>4110</v>
      </c>
      <c r="M21" s="93"/>
      <c r="N21" s="94"/>
      <c r="O21" s="95"/>
      <c r="Q21" s="1"/>
      <c r="R21" s="1"/>
      <c r="S21" s="1"/>
    </row>
    <row r="22" spans="1:19" x14ac:dyDescent="0.3">
      <c r="A22" s="22"/>
      <c r="B22" s="28" t="s">
        <v>12</v>
      </c>
      <c r="C22" s="35">
        <v>3500</v>
      </c>
      <c r="D22" s="84">
        <f>3500 + ROUND((O8*56.32) - 498.695 - 46.667,0)</f>
        <v>3011</v>
      </c>
      <c r="E22" s="84">
        <f>3500 + ROUND((O8*63.31) - 271.654 - 44.333,0)</f>
        <v>3247</v>
      </c>
      <c r="F22" s="84">
        <f>3500 + ROUND((O8*71.614) - 65.692 - 41.611,0)</f>
        <v>3464</v>
      </c>
      <c r="G22" s="84">
        <f>3500 + ROUND((O8*80) - 38.889,0)</f>
        <v>3541</v>
      </c>
      <c r="H22" s="84">
        <f>3500 + ROUND((O8*103.68) - (-163.21) - 31.111,0)</f>
        <v>3736</v>
      </c>
      <c r="I22" s="84">
        <f>3500 + ROUND((O8*125.44) - (-290.15) - 23.333,0)</f>
        <v>3892</v>
      </c>
      <c r="J22" s="84">
        <f>3500 + ROUND((O8*143.36) - (-380.822) - 15.556,0)</f>
        <v>4009</v>
      </c>
      <c r="K22" s="75">
        <f>3500 + ROUND((O8*160) - (-453.36),0)</f>
        <v>4113</v>
      </c>
      <c r="M22" s="93"/>
      <c r="N22" s="94"/>
      <c r="O22" s="95"/>
      <c r="Q22" s="1"/>
      <c r="R22" s="1"/>
      <c r="S22" s="1"/>
    </row>
    <row r="23" spans="1:19" x14ac:dyDescent="0.3">
      <c r="A23" s="23"/>
      <c r="B23" s="29"/>
      <c r="C23" s="36" t="s">
        <v>3</v>
      </c>
      <c r="D23" s="111" t="s">
        <v>3</v>
      </c>
      <c r="E23" s="111"/>
      <c r="F23" s="111"/>
      <c r="G23" s="111"/>
      <c r="H23" s="111"/>
      <c r="I23" s="111"/>
      <c r="J23" s="111"/>
      <c r="K23" s="112"/>
      <c r="M23" s="93"/>
      <c r="N23" s="94"/>
      <c r="O23" s="95"/>
      <c r="Q23" s="1"/>
      <c r="R23" s="1"/>
      <c r="S23" s="1"/>
    </row>
    <row r="24" spans="1:19" ht="15" thickBot="1" x14ac:dyDescent="0.35">
      <c r="A24" s="24"/>
      <c r="B24" s="30"/>
      <c r="C24" s="32">
        <v>3999</v>
      </c>
      <c r="D24" s="85">
        <f>3999 + ROUND((O8*56.32) - 498.695 - 53.32,0)</f>
        <v>3503</v>
      </c>
      <c r="E24" s="85">
        <f>3999+ ROUND((O8*63.31) - 271.654 - 50.654,0)</f>
        <v>3740</v>
      </c>
      <c r="F24" s="85">
        <f>3999 + ROUND((O8*71.614) - 65.692 - 47.543,0)</f>
        <v>3957</v>
      </c>
      <c r="G24" s="85">
        <f>3999 + ROUND((O8*80) - 44.433,0)</f>
        <v>4035</v>
      </c>
      <c r="H24" s="85">
        <f>3999 + ROUND((O8*103.68) - (-163.21) - 35.546,0)</f>
        <v>4230</v>
      </c>
      <c r="I24" s="85">
        <f>3999 + ROUND((O8*125.44) - (-290.15) - 26.66,0)</f>
        <v>4388</v>
      </c>
      <c r="J24" s="85">
        <f>3999 + ROUND((O8*143.36) - (-380.822) - 17.773,0)</f>
        <v>4505</v>
      </c>
      <c r="K24" s="77">
        <f>3999 + ROUND((O8*160) - (-453.36),0)</f>
        <v>4612</v>
      </c>
      <c r="M24" s="93"/>
      <c r="N24" s="94"/>
      <c r="O24" s="95"/>
    </row>
    <row r="25" spans="1:19" ht="15" thickBot="1" x14ac:dyDescent="0.35">
      <c r="A25" s="25"/>
      <c r="B25" s="28" t="s">
        <v>13</v>
      </c>
      <c r="C25" s="35">
        <v>4000</v>
      </c>
      <c r="D25" s="84">
        <f>4000 + ROUND((O9*28.16) - 833.632 - 53.333,0)</f>
        <v>3141</v>
      </c>
      <c r="E25" s="84">
        <f>4000 + ROUND((O9*31.655) - 480.301 - 50.666,0)</f>
        <v>3501</v>
      </c>
      <c r="F25" s="84">
        <f>4000 + ROUND((O9*35.807) - 190.06 - 47.555,0)</f>
        <v>3798</v>
      </c>
      <c r="G25" s="84">
        <f>4000 + ROUND((O9*40) - 44.444,0)</f>
        <v>3996</v>
      </c>
      <c r="H25" s="84">
        <f>4000 + ROUND((O9*51.84) - (-209.866) - 35.555,0)</f>
        <v>4226</v>
      </c>
      <c r="I25" s="84">
        <f>4000 + ROUND((O9*62.72) - (-373.094) - 26.666,0)</f>
        <v>4409</v>
      </c>
      <c r="J25" s="84">
        <f>4000 + ROUND((O9*71.68) - (-489.686) - 17.778,0)</f>
        <v>4544</v>
      </c>
      <c r="K25" s="75">
        <f>4000 + ROUND((O9*80) - (-582.96),0)</f>
        <v>4663</v>
      </c>
      <c r="M25" s="96"/>
      <c r="N25" s="97"/>
      <c r="O25" s="98"/>
      <c r="Q25" s="87"/>
      <c r="R25" s="87"/>
      <c r="S25" s="87"/>
    </row>
    <row r="26" spans="1:19" ht="15" customHeight="1" thickBot="1" x14ac:dyDescent="0.35">
      <c r="A26" s="26"/>
      <c r="B26" s="29"/>
      <c r="C26" s="37" t="s">
        <v>4</v>
      </c>
      <c r="D26" s="113" t="s">
        <v>4</v>
      </c>
      <c r="E26" s="113"/>
      <c r="F26" s="113"/>
      <c r="G26" s="113"/>
      <c r="H26" s="113"/>
      <c r="I26" s="113"/>
      <c r="J26" s="113"/>
      <c r="K26" s="114"/>
      <c r="M26" s="59" t="s">
        <v>15</v>
      </c>
      <c r="N26" s="60"/>
      <c r="O26" s="61"/>
      <c r="Q26" s="87"/>
      <c r="R26" s="87"/>
      <c r="S26" s="87"/>
    </row>
    <row r="27" spans="1:19" ht="15" thickBot="1" x14ac:dyDescent="0.35">
      <c r="A27" s="27"/>
      <c r="B27" s="30"/>
      <c r="C27" s="32">
        <v>5000</v>
      </c>
      <c r="D27" s="85">
        <f>5000 + ROUND((O9*28.16) - 833.632 - 66.667,0)</f>
        <v>4128</v>
      </c>
      <c r="E27" s="85">
        <f>5000 + ROUND((O9*31.655) - 480.301 - 63.334,0)</f>
        <v>4488</v>
      </c>
      <c r="F27" s="85">
        <f>5000 + ROUND((O9*35.807) - 190.06 - 59.445,0)</f>
        <v>4786</v>
      </c>
      <c r="G27" s="85">
        <f>5000 + ROUND((O9*40) - 55.556,0)</f>
        <v>4984</v>
      </c>
      <c r="H27" s="85">
        <f>5000 + ROUND((O9*51.84) - (-209.866) - 44.445,0)</f>
        <v>5217</v>
      </c>
      <c r="I27" s="85">
        <f>5000 + ROUND((O9*62.72) - (-373.094) - 33.334,0)</f>
        <v>5402</v>
      </c>
      <c r="J27" s="85">
        <f>5000 + ROUND((O9*71.68) - (-489.686) - 22.222,0)</f>
        <v>5539</v>
      </c>
      <c r="K27" s="77">
        <f>5000 + ROUND((O9*80) - (-582.96),0)</f>
        <v>5663</v>
      </c>
      <c r="M27" s="54" t="s">
        <v>16</v>
      </c>
      <c r="N27" s="55"/>
      <c r="O27" s="56"/>
      <c r="Q27" s="87"/>
      <c r="R27" s="87"/>
      <c r="S27" s="87"/>
    </row>
  </sheetData>
  <mergeCells count="34">
    <mergeCell ref="M12:O25"/>
    <mergeCell ref="Q14:S14"/>
    <mergeCell ref="Q15:S17"/>
    <mergeCell ref="Q18:S23"/>
    <mergeCell ref="D5:K5"/>
    <mergeCell ref="M10:O10"/>
    <mergeCell ref="M26:O26"/>
    <mergeCell ref="M27:O27"/>
    <mergeCell ref="M1:N1"/>
    <mergeCell ref="D3:K3"/>
    <mergeCell ref="D8:K8"/>
    <mergeCell ref="D11:K11"/>
    <mergeCell ref="D14:K14"/>
    <mergeCell ref="D17:K17"/>
    <mergeCell ref="D20:K20"/>
    <mergeCell ref="D23:K23"/>
    <mergeCell ref="D26:K26"/>
    <mergeCell ref="A22:A24"/>
    <mergeCell ref="A25:A27"/>
    <mergeCell ref="A1:B3"/>
    <mergeCell ref="B19:B21"/>
    <mergeCell ref="B22:B24"/>
    <mergeCell ref="B25:B27"/>
    <mergeCell ref="A4:A6"/>
    <mergeCell ref="A7:A9"/>
    <mergeCell ref="A10:A12"/>
    <mergeCell ref="A13:A15"/>
    <mergeCell ref="A16:A18"/>
    <mergeCell ref="A19:A21"/>
    <mergeCell ref="B4:B6"/>
    <mergeCell ref="B7:B9"/>
    <mergeCell ref="B10:B12"/>
    <mergeCell ref="B13:B15"/>
    <mergeCell ref="B16:B18"/>
  </mergeCells>
  <conditionalFormatting sqref="D4:K4">
    <cfRule type="cellIs" dxfId="101" priority="50" operator="greaterThan">
      <formula>0</formula>
    </cfRule>
    <cfRule type="cellIs" dxfId="102" priority="49" operator="lessThan">
      <formula>0</formula>
    </cfRule>
    <cfRule type="cellIs" dxfId="100" priority="48" operator="equal">
      <formula>0</formula>
    </cfRule>
  </conditionalFormatting>
  <conditionalFormatting sqref="D6:K6">
    <cfRule type="cellIs" dxfId="95" priority="47" operator="equal">
      <formula>999</formula>
    </cfRule>
    <cfRule type="cellIs" dxfId="96" priority="46" operator="greaterThan">
      <formula>999</formula>
    </cfRule>
    <cfRule type="cellIs" dxfId="94" priority="45" operator="lessThan">
      <formula>999</formula>
    </cfRule>
  </conditionalFormatting>
  <conditionalFormatting sqref="D7:K7">
    <cfRule type="cellIs" dxfId="83" priority="43" operator="equal">
      <formula>1000</formula>
    </cfRule>
    <cfRule type="cellIs" dxfId="84" priority="42" operator="lessThan">
      <formula>1000</formula>
    </cfRule>
    <cfRule type="cellIs" dxfId="82" priority="41" operator="greaterThan">
      <formula>1000</formula>
    </cfRule>
  </conditionalFormatting>
  <conditionalFormatting sqref="D9:K9">
    <cfRule type="cellIs" dxfId="77" priority="40" operator="lessThan">
      <formula>1499</formula>
    </cfRule>
    <cfRule type="cellIs" dxfId="78" priority="39" operator="equal">
      <formula>1499</formula>
    </cfRule>
    <cfRule type="cellIs" dxfId="76" priority="38" operator="greaterThan">
      <formula>1499</formula>
    </cfRule>
  </conditionalFormatting>
  <conditionalFormatting sqref="D10:K10">
    <cfRule type="cellIs" dxfId="71" priority="37" operator="equal">
      <formula>1500</formula>
    </cfRule>
    <cfRule type="cellIs" dxfId="72" priority="36" operator="lessThan">
      <formula>1500</formula>
    </cfRule>
    <cfRule type="cellIs" dxfId="70" priority="35" operator="greaterThan">
      <formula>1500</formula>
    </cfRule>
  </conditionalFormatting>
  <conditionalFormatting sqref="D12:K12">
    <cfRule type="cellIs" dxfId="65" priority="34" operator="lessThan">
      <formula>1999</formula>
    </cfRule>
    <cfRule type="cellIs" dxfId="66" priority="33" operator="equal">
      <formula>1999</formula>
    </cfRule>
    <cfRule type="cellIs" dxfId="64" priority="32" operator="greaterThan">
      <formula>1999</formula>
    </cfRule>
  </conditionalFormatting>
  <conditionalFormatting sqref="D13:K13">
    <cfRule type="cellIs" dxfId="59" priority="31" operator="lessThan">
      <formula>2000</formula>
    </cfRule>
    <cfRule type="cellIs" dxfId="60" priority="30" operator="equal">
      <formula>2000</formula>
    </cfRule>
    <cfRule type="cellIs" dxfId="58" priority="29" operator="greaterThan">
      <formula>2000</formula>
    </cfRule>
  </conditionalFormatting>
  <conditionalFormatting sqref="D15:K15">
    <cfRule type="cellIs" dxfId="53" priority="28" operator="lessThan">
      <formula>2499</formula>
    </cfRule>
    <cfRule type="cellIs" dxfId="54" priority="27" operator="equal">
      <formula>2499</formula>
    </cfRule>
    <cfRule type="cellIs" dxfId="52" priority="26" operator="greaterThan">
      <formula>2499</formula>
    </cfRule>
  </conditionalFormatting>
  <conditionalFormatting sqref="D16:K16">
    <cfRule type="cellIs" dxfId="47" priority="25" operator="lessThan">
      <formula>2500</formula>
    </cfRule>
    <cfRule type="cellIs" dxfId="48" priority="24" operator="equal">
      <formula>2500</formula>
    </cfRule>
    <cfRule type="cellIs" dxfId="46" priority="23" operator="greaterThan">
      <formula>2500</formula>
    </cfRule>
  </conditionalFormatting>
  <conditionalFormatting sqref="D18:K18">
    <cfRule type="cellIs" dxfId="39" priority="22" operator="lessThan">
      <formula>2999</formula>
    </cfRule>
    <cfRule type="cellIs" dxfId="40" priority="21" operator="equal">
      <formula>2999</formula>
    </cfRule>
    <cfRule type="cellIs" priority="20" operator="greaterThan">
      <formula>2999</formula>
    </cfRule>
    <cfRule type="cellIs" dxfId="38" priority="19" operator="greaterThan">
      <formula>2999</formula>
    </cfRule>
  </conditionalFormatting>
  <conditionalFormatting sqref="D19:K19">
    <cfRule type="cellIs" dxfId="33" priority="18" operator="lessThan">
      <formula>3000</formula>
    </cfRule>
    <cfRule type="cellIs" dxfId="34" priority="17" operator="equal">
      <formula>3000</formula>
    </cfRule>
    <cfRule type="cellIs" dxfId="32" priority="16" operator="greaterThan">
      <formula>3000</formula>
    </cfRule>
  </conditionalFormatting>
  <conditionalFormatting sqref="D21:K21">
    <cfRule type="cellIs" dxfId="27" priority="15" operator="lessThan">
      <formula>3499</formula>
    </cfRule>
    <cfRule type="cellIs" dxfId="28" priority="14" operator="equal">
      <formula>3499</formula>
    </cfRule>
    <cfRule type="cellIs" dxfId="26" priority="13" operator="greaterThan">
      <formula>3499</formula>
    </cfRule>
  </conditionalFormatting>
  <conditionalFormatting sqref="D22:K22">
    <cfRule type="cellIs" dxfId="21" priority="12" operator="lessThan">
      <formula>3500</formula>
    </cfRule>
    <cfRule type="cellIs" dxfId="22" priority="11" operator="equal">
      <formula>3500</formula>
    </cfRule>
    <cfRule type="cellIs" dxfId="20" priority="10" operator="greaterThan">
      <formula>3500</formula>
    </cfRule>
  </conditionalFormatting>
  <conditionalFormatting sqref="D24:K24">
    <cfRule type="cellIs" dxfId="15" priority="9" operator="lessThan">
      <formula>3999</formula>
    </cfRule>
    <cfRule type="cellIs" dxfId="16" priority="8" operator="equal">
      <formula>3999</formula>
    </cfRule>
    <cfRule type="cellIs" dxfId="14" priority="7" operator="greaterThan">
      <formula>3999</formula>
    </cfRule>
  </conditionalFormatting>
  <conditionalFormatting sqref="D25:K25">
    <cfRule type="cellIs" dxfId="9" priority="6" operator="lessThan">
      <formula>4000</formula>
    </cfRule>
    <cfRule type="cellIs" dxfId="10" priority="5" operator="equal">
      <formula>4000</formula>
    </cfRule>
    <cfRule type="cellIs" dxfId="8" priority="4" operator="greaterThan">
      <formula>4000</formula>
    </cfRule>
  </conditionalFormatting>
  <conditionalFormatting sqref="D27:K27">
    <cfRule type="cellIs" dxfId="3" priority="3" operator="lessThan">
      <formula>5000</formula>
    </cfRule>
    <cfRule type="cellIs" dxfId="4" priority="2" operator="equal">
      <formula>5000</formula>
    </cfRule>
    <cfRule type="cellIs" dxfId="2" priority="1" operator="greaterThan">
      <formula>5000</formula>
    </cfRule>
  </conditionalFormatting>
  <dataValidations count="2">
    <dataValidation type="whole" allowBlank="1" showInputMessage="1" showErrorMessage="1" sqref="D27:K27 D6:K7 D9:K10 D12:K13 D15:K16 D18:K19 D21:K22 D24:K25" xr:uid="{F7A45993-C072-40B0-9B06-DDBE0E32F46E}">
      <formula1>0</formula1>
      <formula2>5000</formula2>
    </dataValidation>
    <dataValidation type="whole" showInputMessage="1" showErrorMessage="1" sqref="D4:K4" xr:uid="{0D551AF2-AB03-4DD4-91CD-EA8F4E775C9C}">
      <formula1>0</formula1>
      <formula2>5000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Yaraslau Maksimchyk</dc:creator>
  <cp:lastModifiedBy>Yaraslau Maksimchyk</cp:lastModifiedBy>
  <dcterms:created xsi:type="dcterms:W3CDTF">2020-06-09T14:45:54Z</dcterms:created>
  <dcterms:modified xsi:type="dcterms:W3CDTF">2020-06-09T19:07:05Z</dcterms:modified>
</cp:coreProperties>
</file>