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全局" sheetId="2" r:id="rId1"/>
    <sheet name="兵种" sheetId="3" r:id="rId2"/>
    <sheet name="攻击" sheetId="12" r:id="rId3"/>
    <sheet name="技能" sheetId="4" r:id="rId4"/>
    <sheet name="弹道" sheetId="11" r:id="rId5"/>
    <sheet name="特效" sheetId="5" r:id="rId6"/>
    <sheet name="Soldiers_config" sheetId="7" r:id="rId7"/>
    <sheet name="Attack_config" sheetId="13" r:id="rId8"/>
    <sheet name="Ability_config" sheetId="8" r:id="rId9"/>
    <sheet name="Strengthen_config" sheetId="6" r:id="rId10"/>
  </sheets>
  <calcPr calcId="152511"/>
</workbook>
</file>

<file path=xl/calcChain.xml><?xml version="1.0" encoding="utf-8"?>
<calcChain xmlns="http://schemas.openxmlformats.org/spreadsheetml/2006/main">
  <c r="AC10" i="4" l="1"/>
  <c r="AC8" i="4"/>
  <c r="AC7" i="4"/>
  <c r="AC6" i="4"/>
  <c r="AC5" i="4"/>
  <c r="AC4" i="4"/>
  <c r="AD3" i="4"/>
  <c r="AD4" i="4"/>
  <c r="AD5" i="4"/>
  <c r="AD6" i="4"/>
  <c r="AD7" i="4"/>
  <c r="AD8" i="4"/>
  <c r="AD9" i="4"/>
  <c r="AD10" i="4"/>
  <c r="AD2" i="4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I2" i="3"/>
  <c r="H2" i="3"/>
  <c r="AC9" i="4"/>
  <c r="AC2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H6" i="7"/>
  <c r="I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H9" i="7"/>
  <c r="I9" i="7"/>
  <c r="N9" i="7"/>
  <c r="O9" i="7"/>
  <c r="P9" i="7"/>
  <c r="A10" i="7"/>
  <c r="B10" i="7"/>
  <c r="C10" i="7"/>
  <c r="D10" i="7"/>
  <c r="G10" i="7"/>
  <c r="H10" i="7"/>
  <c r="I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8" i="8" s="1"/>
  <c r="K9" i="4"/>
  <c r="K9" i="8" s="1"/>
  <c r="K10" i="4"/>
  <c r="K7" i="8"/>
  <c r="L10" i="4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L8" i="8"/>
  <c r="M8" i="8"/>
  <c r="N8" i="8"/>
  <c r="O8" i="8"/>
  <c r="P8" i="8"/>
  <c r="Q8" i="8"/>
  <c r="R8" i="8"/>
  <c r="S8" i="8"/>
  <c r="I9" i="8"/>
  <c r="J9" i="8"/>
  <c r="L9" i="8"/>
  <c r="M9" i="8"/>
  <c r="N9" i="8"/>
  <c r="O9" i="8"/>
  <c r="P9" i="8"/>
  <c r="Q9" i="8"/>
  <c r="R9" i="8"/>
  <c r="S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R5" i="3" l="1"/>
  <c r="F5" i="7"/>
  <c r="R8" i="3"/>
  <c r="F8" i="7"/>
  <c r="R2" i="3"/>
  <c r="F2" i="7"/>
  <c r="R7" i="3"/>
  <c r="F7" i="7"/>
  <c r="R3" i="3"/>
  <c r="F3" i="7"/>
  <c r="F9" i="7"/>
  <c r="R4" i="3"/>
  <c r="F4" i="7"/>
  <c r="R10" i="3"/>
  <c r="F10" i="7"/>
  <c r="R6" i="3"/>
  <c r="F6" i="7"/>
  <c r="J10" i="3"/>
  <c r="J10" i="7" s="1"/>
  <c r="K10" i="3"/>
  <c r="K10" i="7" s="1"/>
  <c r="E3" i="3"/>
  <c r="E4" i="3"/>
  <c r="E5" i="3"/>
  <c r="E6" i="3"/>
  <c r="E7" i="3"/>
  <c r="E8" i="3"/>
  <c r="E9" i="3"/>
  <c r="E10" i="3"/>
  <c r="E2" i="3"/>
  <c r="J3" i="3"/>
  <c r="J3" i="7" s="1"/>
  <c r="K3" i="3"/>
  <c r="K3" i="7" s="1"/>
  <c r="J4" i="3"/>
  <c r="J4" i="7" s="1"/>
  <c r="K4" i="3"/>
  <c r="K4" i="7" s="1"/>
  <c r="J5" i="3"/>
  <c r="J5" i="7" s="1"/>
  <c r="K5" i="3"/>
  <c r="K5" i="7" s="1"/>
  <c r="J6" i="3"/>
  <c r="J6" i="7" s="1"/>
  <c r="K6" i="3"/>
  <c r="K6" i="7" s="1"/>
  <c r="J7" i="3"/>
  <c r="J7" i="7" s="1"/>
  <c r="K7" i="3"/>
  <c r="K7" i="7" s="1"/>
  <c r="J8" i="3"/>
  <c r="J8" i="7" s="1"/>
  <c r="K8" i="3"/>
  <c r="K8" i="7" s="1"/>
  <c r="J9" i="3"/>
  <c r="J9" i="7" s="1"/>
  <c r="K9" i="3"/>
  <c r="K9" i="7" s="1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Q10" i="3" l="1"/>
  <c r="W10" i="3" s="1"/>
  <c r="L10" i="3"/>
  <c r="L10" i="7" s="1"/>
  <c r="E10" i="7"/>
  <c r="Q6" i="3"/>
  <c r="W6" i="3" s="1"/>
  <c r="L6" i="3"/>
  <c r="L6" i="7" s="1"/>
  <c r="E6" i="7"/>
  <c r="Q8" i="3"/>
  <c r="W8" i="3" s="1"/>
  <c r="L8" i="3"/>
  <c r="L8" i="7" s="1"/>
  <c r="E8" i="7"/>
  <c r="Q4" i="3"/>
  <c r="W4" i="3" s="1"/>
  <c r="L4" i="3"/>
  <c r="L4" i="7" s="1"/>
  <c r="E4" i="7"/>
  <c r="Q9" i="3"/>
  <c r="E9" i="7"/>
  <c r="L9" i="3"/>
  <c r="L9" i="7" s="1"/>
  <c r="Q5" i="3"/>
  <c r="W5" i="3" s="1"/>
  <c r="L5" i="3"/>
  <c r="L5" i="7" s="1"/>
  <c r="E5" i="7"/>
  <c r="Q2" i="3"/>
  <c r="W2" i="3" s="1"/>
  <c r="L2" i="3"/>
  <c r="L2" i="7" s="1"/>
  <c r="E2" i="7"/>
  <c r="Q7" i="3"/>
  <c r="W7" i="3" s="1"/>
  <c r="L7" i="3"/>
  <c r="L7" i="7" s="1"/>
  <c r="E7" i="7"/>
  <c r="Q3" i="3"/>
  <c r="W3" i="3" s="1"/>
  <c r="L3" i="3"/>
  <c r="L3" i="7" s="1"/>
  <c r="E3" i="7"/>
  <c r="R9" i="3"/>
  <c r="AC3" i="4"/>
  <c r="T2" i="4"/>
  <c r="T2" i="8" s="1"/>
  <c r="W9" i="3" l="1"/>
  <c r="A1" i="8"/>
  <c r="K3" i="4" l="1"/>
  <c r="K2" i="4"/>
  <c r="K2" i="8" s="1"/>
  <c r="A1" i="7"/>
  <c r="B28" i="3" l="1"/>
  <c r="B24" i="4"/>
  <c r="T8" i="8"/>
  <c r="T3" i="4"/>
  <c r="T9" i="4"/>
  <c r="T9" i="8" s="1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K2" i="7" s="1"/>
  <c r="C26" i="2"/>
  <c r="C23" i="2"/>
  <c r="C27" i="2"/>
  <c r="C25" i="2"/>
  <c r="J2" i="3" l="1"/>
  <c r="J2" i="7" s="1"/>
  <c r="G12" i="2"/>
  <c r="G13" i="2" s="1"/>
  <c r="D12" i="2"/>
  <c r="D43" i="2" s="1"/>
  <c r="E12" i="2"/>
  <c r="E43" i="2" s="1"/>
  <c r="F12" i="2"/>
  <c r="F13" i="2" s="1"/>
  <c r="H2" i="7" s="1"/>
  <c r="C12" i="2"/>
  <c r="C43" i="2" s="1"/>
  <c r="E7" i="6" l="1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I2" i="7" s="1"/>
  <c r="F11" i="2"/>
  <c r="E11" i="2"/>
  <c r="B12" i="2"/>
  <c r="I7" i="7" l="1"/>
  <c r="I4" i="7"/>
  <c r="I3" i="7"/>
  <c r="I8" i="7"/>
  <c r="I5" i="7"/>
  <c r="H7" i="7"/>
  <c r="H4" i="7"/>
  <c r="H3" i="7"/>
  <c r="H8" i="7"/>
  <c r="H5" i="7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<sst xmlns="http://schemas.openxmlformats.org/spreadsheetml/2006/main" count="324" uniqueCount="253">
  <si>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</si>
  <si>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</si>
  <si>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</si>
  <si>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</si>
  <si>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</si>
  <si>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</si>
  <si>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</si>
  <si>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</si>
  <si>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</si>
  <si>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</si>
  <si>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</si>
  <si>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</si>
  <si>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</si>
  <si>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</si>
  <si>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</si>
  <si>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</si>
  <si>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</si>
  <si>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</si>
  <si>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</si>
  <si>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</si>
  <si>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</si>
  <si>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</si>
  <si>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</si>
  <si>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</si>
  <si>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</si>
  <si>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</si>
  <si>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</si>
  <si>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</si>
  <si>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</si>
  <si>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</si>
  <si>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</si>
  <si>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</si>
  <si>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</si>
  <si>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</si>
  <si>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</si>
  <si>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</si>
  <si>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</si>
  <si>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</si>
  <si>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</si>
  <si>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</si>
  <si>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</si>
  <si>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</si>
  <si>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</si>
  <si>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</si>
  <si>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</si>
  <si>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</si>
  <si>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</si>
  <si>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</si>
  <si>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</si>
  <si>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</si>
  <si>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</si>
  <si>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</si>
  <si>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</si>
  <si>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</si>
  <si>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</si>
  <si>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</si>
  <si>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</si>
  <si>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</si>
  <si>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</si>
  <si>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</si>
  <si>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</si>
  <si>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</si>
  <si>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</si>
  <si>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</si>
  <si>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</si>
  <si>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</si>
  <si>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</si>
  <si>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</si>
  <si>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</si>
  <si>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</si>
  <si>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</si>
  <si>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</si>
  <si>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</si>
  <si>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</si>
  <si>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</si>
  <si>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</si>
  <si>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</si>
  <si>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</si>
  <si>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</si>
  <si>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</si>
  <si>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</si>
  <si>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</si>
  <si>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</si>
  <si>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</si>
  <si>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</si>
  <si>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</si>
  <si>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</si>
  <si>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</si>
  <si>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</si>
  <si>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</si>
  <si>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</si>
  <si>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</si>
  <si>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</si>
  <si>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</si>
  <si>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</si>
  <si>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</si>
  <si>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</si>
  <si>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</si>
  <si>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</si>
  <si>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</si>
  <si>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</si>
  <si>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</si>
  <si>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</si>
  <si>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</si>
  <si>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</si>
  <si>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</si>
  <si>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</si>
  <si>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</si>
  <si>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</si>
  <si>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</si>
  <si>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</si>
  <si>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</si>
  <si>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</si>
  <si>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</si>
  <si>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</si>
  <si>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</si>
  <si>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</si>
  <si>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</si>
  <si>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</si>
  <si>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</si>
  <si>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</si>
  <si>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</si>
  <si>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</si>
  <si>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</si>
  <si>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</si>
  <si>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</si>
  <si>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</si>
  <si>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</si>
  <si>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</si>
  <si>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</si>
  <si>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</si>
  <si>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</si>
  <si>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</si>
  <si>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</si>
  <si>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</si>
  <si>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</si>
  <si>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</si>
  <si>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</si>
  <si>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</si>
  <si>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</si>
  <si>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直线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</si>
  <si>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</si>
  <si>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</si>
  <si>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</si>
  <si>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</si>
  <si>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沿直线飞行,可命中多个目标,飞行固定距离后销毁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</si>
  <si>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</si>
  <si>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</si>
  <si>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</si>
  <si>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</si>
  <si>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t>销毁方式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</si>
  <si>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</si>
  <si>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</si>
  <si>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</si>
  <si>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</si>
  <si>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</si>
  <si>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</si>
  <si>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</si>
  <si>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</si>
  <si>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</si>
  <si>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</si>
  <si>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</si>
  <si>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</si>
  <si>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</si>
  <si>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</si>
  <si>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</si>
  <si>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</si>
  <si>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</si>
  <si>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</si>
  <si>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</si>
  <si>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</si>
  <si>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</si>
  <si>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</si>
  <si>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</si>
  <si>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</si>
  <si>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</si>
  <si>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</si>
  <si>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</si>
  <si>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</si>
  <si>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</si>
  <si>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</si>
  <si>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</si>
  <si>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</si>
  <si>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</si>
  <si>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</si>
  <si>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</si>
  <si>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</si>
  <si>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</si>
  <si>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</si>
  <si>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</si>
  <si>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</si>
  <si>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</si>
  <si>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</si>
  <si>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</si>
  <si>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</si>
  <si>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</si>
  <si>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</si>
  <si>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</si>
  <si>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</si>
  <si>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</si>
  <si>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</si>
  <si>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</si>
  <si>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</si>
  <si>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</si>
  <si>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</si>
  <si>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</si>
  <si>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</si>
  <si>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</si>
  <si>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</si>
  <si>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</si>
  <si>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</si>
  <si>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</si>
  <si>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</si>
  <si>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</si>
  <si>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</si>
  <si>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</si>
  <si>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</si>
  <si>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</si>
  <si>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</si>
  <si>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</si>
  <si>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</si>
  <si>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</si>
  <si>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</si>
  <si>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时间)后销毁</t>
    </r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</si>
  <si>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</si>
  <si>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</si>
  <si>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</si>
  <si>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</si>
  <si>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</si>
  <si>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</si>
  <si>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</si>
  <si>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</si>
  <si>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</si>
  <si>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</si>
  <si>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</si>
  <si>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</si>
  <si>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</si>
  <si>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</si>
  <si>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</si>
  <si>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</si>
  <si>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</si>
  <si>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</si>
  <si>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</si>
  <si>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</si>
  <si>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</si>
  <si>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</si>
  <si>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</si>
  <si>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连接在自身和目标之间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</si>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</sst>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9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A3" sqref="A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1" t="s">
        <v>78</v>
      </c>
      <c r="C4" s="81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6</v>
      </c>
      <c r="E10" s="22">
        <v>9</v>
      </c>
      <c r="F10" s="22">
        <v>12</v>
      </c>
      <c r="G10" s="22">
        <v>15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1.6876275473019362</v>
      </c>
      <c r="F11" s="2">
        <f t="shared" si="0"/>
        <v>1.4916492328386208</v>
      </c>
      <c r="G11" s="2">
        <f t="shared" si="0"/>
        <v>1.3912755158683454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6.7082039324993694</v>
      </c>
      <c r="F12" s="2">
        <f t="shared" si="1"/>
        <v>8.8317608663278477</v>
      </c>
      <c r="G12" s="2">
        <f t="shared" ref="G12" si="2">IF(G10&gt;F10,(G10*(G10+1)/2)^(1/2),"参数错误")</f>
        <v>10.954451150103322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167</v>
      </c>
      <c r="F13" s="2">
        <f t="shared" si="3"/>
        <v>220</v>
      </c>
      <c r="G13" s="2">
        <f t="shared" si="3"/>
        <v>273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670</v>
      </c>
      <c r="F14" s="2">
        <f t="shared" si="4"/>
        <v>883</v>
      </c>
      <c r="G14" s="2">
        <f t="shared" si="4"/>
        <v>1095</v>
      </c>
      <c r="H14" t="s">
        <v>5</v>
      </c>
    </row>
    <row r="17" spans="2:14">
      <c r="D17" s="81" t="s">
        <v>79</v>
      </c>
      <c r="E17" s="81"/>
    </row>
    <row r="18" spans="2:14">
      <c r="B18" s="7" t="s">
        <v>80</v>
      </c>
      <c r="D18" s="7" t="s">
        <v>55</v>
      </c>
      <c r="E18" s="7" t="s">
        <v>93</v>
      </c>
      <c r="G18" s="30" t="s">
        <v>94</v>
      </c>
    </row>
    <row r="19" spans="2:14">
      <c r="B19" s="22">
        <v>1</v>
      </c>
      <c r="D19" s="22">
        <f>$B$19*1</f>
        <v>1</v>
      </c>
      <c r="E19" s="22">
        <v>0.5</v>
      </c>
      <c r="G19" t="s">
        <v>95</v>
      </c>
    </row>
    <row r="22" spans="2:14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4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89</v>
      </c>
    </row>
    <row r="31" spans="2:14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6.7082039324993694</v>
      </c>
      <c r="F43" s="4">
        <f t="shared" si="6"/>
        <v>8.8317608663278477</v>
      </c>
      <c r="G43" s="4">
        <f t="shared" si="6"/>
        <v>10.954451150103322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5.7598027796400233</v>
      </c>
      <c r="E44" s="4">
        <f>IF(AND($B$39&gt;=0,$B$39&lt;=1),E43*(F43/E43)^$B$39,"错误:强化系数须在0-1之间")</f>
        <v>7.9117195375508738</v>
      </c>
      <c r="F44" s="4">
        <f>IF(AND($B$39&gt;=0,$B$39&lt;=1),F43*(G43/F43)^$B$39,"错误:强化系数须在0-1之间")</f>
        <v>10.050167370751511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5.2105332250978531</v>
      </c>
      <c r="D45" s="4">
        <f>IF(AND($B$39&gt;=0,$B$39&lt;=1),D44*(F43/D44)^$B$39,"错误:强化系数须在0-1之间")</f>
        <v>7.4437439532635716</v>
      </c>
      <c r="E45" s="4">
        <f>IF(AND($B$39&gt;=0,$B$39&lt;=1),E44*(G43/E44)^$B$39,"错误:强化系数须在0-1之间")</f>
        <v>9.6175117869716811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4.9201838317393278</v>
      </c>
      <c r="C46" s="2">
        <f>IF(AND($B$39&gt;=0,$B$39&lt;=1),C45*(F43/C45)^$B$39,"错误:强化系数须在0-1之间")</f>
        <v>7.1512382734237372</v>
      </c>
      <c r="D46" s="2">
        <f>IF(AND($B$39&gt;=0,$B$39&lt;=1),D45*(G43/D45)^$B$39,"错误:强化系数须在0-1之间")</f>
        <v>9.3857924044491305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6.9890944996363107</v>
      </c>
      <c r="C47" s="2">
        <f>IF(AND($B$39&gt;=0,$B$39&lt;=1),C46*(G43/C46)^$B$39,"错误:强化系数须在0-1之间")</f>
        <v>9.2364880622027172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9.1521417695761702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4.9201838317393278</v>
      </c>
      <c r="C55" s="4">
        <f>IF(AND($B$39&gt;=0,$B$39&lt;=1),C54*(E55/C54)^$B$39,"错误:强化系数须在0-1之间")</f>
        <v>5.2105332250978531</v>
      </c>
      <c r="D55" s="4">
        <f>IF(AND($B$39&gt;=0,$B$39&lt;=1),D54*(E55/D54)^$B$39,"错误:强化系数须在0-1之间")</f>
        <v>5.7598027796400233</v>
      </c>
      <c r="E55" s="2">
        <f>E12</f>
        <v>6.7082039324993694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6.9890944996363107</v>
      </c>
      <c r="C56" s="4">
        <f>IF(AND($B$39&gt;=0,$B$39&lt;=1),C55*(F56/C55)^$B$39,"错误:强化系数须在0-1之间")</f>
        <v>7.1512382734237372</v>
      </c>
      <c r="D56" s="4">
        <f>IF(AND($B$39&gt;=0,$B$39&lt;=1),D55*(F56/D55)^$B$39,"错误:强化系数须在0-1之间")</f>
        <v>7.4437439532635716</v>
      </c>
      <c r="E56" s="4">
        <f>IF(AND($B$39&gt;=0,$B$39&lt;=1),E55*(F56/E55)^$B$39,"错误:强化系数须在0-1之间")</f>
        <v>7.9117195375508738</v>
      </c>
      <c r="F56" s="2">
        <f>F12</f>
        <v>8.8317608663278477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9.1521417695761702</v>
      </c>
      <c r="C57" s="4">
        <f>IF(AND($B$39&gt;=0,$B$39&lt;=1),C56*(G57/C56)^$B$39,"错误:强化系数须在0-1之间")</f>
        <v>9.2364880622027172</v>
      </c>
      <c r="D57" s="4">
        <f>IF(AND($B$39&gt;=0,$B$39&lt;=1),D56*(G57/D56)^$B$39,"错误:强化系数须在0-1之间")</f>
        <v>9.3857924044491305</v>
      </c>
      <c r="E57" s="4">
        <f>IF(AND($B$39&gt;=0,$B$39&lt;=1),E56*(G57/E56)^$B$39,"错误:强化系数须在0-1之间")</f>
        <v>9.6175117869716811</v>
      </c>
      <c r="F57" s="4">
        <f>IF(AND($B$39&gt;=0,$B$39&lt;=1),F56*(G57/F56)^$B$39,"错误:强化系数须在0-1之间")</f>
        <v>10.050167370751511</v>
      </c>
      <c r="G57" s="2">
        <f>G12</f>
        <v>10.954451150103322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165</v>
      </c>
    </row>
    <row r="66" spans="3:3">
      <c r="C66" s="31" t="s">
        <v>166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1.4561979432210859</v>
      </c>
      <c r="D3" s="29">
        <f>全局!D44/全局!D$43</f>
        <v>1.2568920107484505</v>
      </c>
      <c r="E3" s="29">
        <f>全局!E44/全局!E$43</f>
        <v>1.1794095136584635</v>
      </c>
      <c r="F3" s="29">
        <f>全局!F44/全局!F$43</f>
        <v>1.137957370321131</v>
      </c>
    </row>
    <row r="4" spans="1:6">
      <c r="A4" s="1" t="s">
        <v>92</v>
      </c>
      <c r="B4" s="29">
        <f>全局!B45/全局!B$43</f>
        <v>3.0906080998765306</v>
      </c>
      <c r="C4" s="29">
        <f>全局!C45/全局!C$43</f>
        <v>2.1271912815513576</v>
      </c>
      <c r="D4" s="29">
        <f>全局!D45/全局!D$43</f>
        <v>1.6243581009381021</v>
      </c>
      <c r="E4" s="29">
        <f>全局!E45/全局!E$43</f>
        <v>1.4336940086716103</v>
      </c>
      <c r="F4" s="29">
        <f>全局!F45/全局!F$43</f>
        <v>0</v>
      </c>
    </row>
    <row r="5" spans="1:6">
      <c r="A5" s="1" t="s">
        <v>2</v>
      </c>
      <c r="B5" s="29">
        <f>全局!B46/全局!B$43</f>
        <v>4.9201838317393278</v>
      </c>
      <c r="C5" s="29">
        <f>全局!C46/全局!C$43</f>
        <v>2.9194807998249885</v>
      </c>
      <c r="D5" s="29">
        <f>全局!D46/全局!D$43</f>
        <v>2.0481478166918916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6.9890944996363107</v>
      </c>
      <c r="C6" s="29">
        <f>全局!C47/全局!C$43</f>
        <v>3.7707804612841387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9.1521417695761702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V11" sqref="V11"/>
    </sheetView>
  </sheetViews>
  <sheetFormatPr defaultRowHeight="13.5"/>
  <cols>
    <col min="1" max="17" width="9" style="1"/>
    <col min="18" max="18" width="9" style="12"/>
    <col min="19" max="22" width="9" style="1"/>
    <col min="23" max="23" width="9" style="13"/>
  </cols>
  <sheetData>
    <row r="1" spans="1:23" s="78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8" t="s">
        <v>161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189</v>
      </c>
      <c r="M1" s="21" t="s">
        <v>182</v>
      </c>
      <c r="N1" s="21" t="s">
        <v>160</v>
      </c>
      <c r="O1" s="21" t="s">
        <v>157</v>
      </c>
      <c r="P1" s="42" t="s">
        <v>102</v>
      </c>
      <c r="Q1" s="21" t="s">
        <v>119</v>
      </c>
      <c r="R1" s="78" t="s">
        <v>27</v>
      </c>
      <c r="S1" s="21" t="s">
        <v>57</v>
      </c>
      <c r="T1" s="21" t="s">
        <v>110</v>
      </c>
      <c r="U1" s="21" t="s">
        <v>249</v>
      </c>
      <c r="V1" s="21" t="s">
        <v>250</v>
      </c>
      <c r="W1" s="78" t="s">
        <v>90</v>
      </c>
    </row>
    <row r="2" spans="1:23">
      <c r="A2" s="32">
        <v>1001</v>
      </c>
      <c r="B2" s="33" t="s">
        <v>168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1</v>
      </c>
      <c r="H2" s="39">
        <f>INT(U2*LOOKUP(D2,全局!$B$9:$G$9,全局!$B$13:$G$13))</f>
        <v>33</v>
      </c>
      <c r="I2" s="39">
        <f>INT(V2*LOOKUP(D2,全局!$B$9:$G$9,全局!$B$14:$G$14))</f>
        <v>1059</v>
      </c>
      <c r="J2" s="33">
        <f>VLOOKUP(S2,全局!$B$23:$D$27,2,FALSE)</f>
        <v>1</v>
      </c>
      <c r="K2" s="33">
        <f>VLOOKUP(T2,全局!$B$23:$D$27,3,FALSE)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155</v>
      </c>
      <c r="Q2" s="12">
        <f>LOOKUP(E2,攻击!A2:A10,攻击!Z2:Z10)</f>
        <v>2</v>
      </c>
      <c r="R2" s="12">
        <f>LOOKUP(F2,技能!A2:A10,技能!AC2:AC10)</f>
        <v>3</v>
      </c>
      <c r="S2" s="12" t="s">
        <v>192</v>
      </c>
      <c r="T2" s="12" t="s">
        <v>192</v>
      </c>
      <c r="U2" s="79">
        <v>0.15</v>
      </c>
      <c r="V2" s="63">
        <v>1.2</v>
      </c>
      <c r="W2" s="12">
        <f>Q2*R2*U2*V2*(K2/全局!$E$19)*LOOKUP(J2,全局!$C$23:$C$27,全局!$E$23:$E$27)*LOOKUP(G2,全局!$C$31:$L$31,全局!$C$32:$L$32)</f>
        <v>1.0799999999999998</v>
      </c>
    </row>
    <row r="3" spans="1:23">
      <c r="A3" s="32">
        <v>1002</v>
      </c>
      <c r="B3" s="33" t="s">
        <v>169</v>
      </c>
      <c r="C3" s="33">
        <v>1</v>
      </c>
      <c r="D3" s="33">
        <v>4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INT(U3*LOOKUP(D3,全局!$B$9:$G$9,全局!$B$13:$G$13))</f>
        <v>50</v>
      </c>
      <c r="I3" s="39">
        <f>INT(V3*LOOKUP(D3,全局!$B$9:$G$9,全局!$B$14:$G$14))</f>
        <v>871</v>
      </c>
      <c r="J3" s="33">
        <f>VLOOKUP(S3,全局!$B$23:$D$27,2,FALSE)</f>
        <v>2</v>
      </c>
      <c r="K3" s="33">
        <f>VLOOKUP(T3,全局!$B$23:$D$27,3,FALSE)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154</v>
      </c>
      <c r="Q3" s="12">
        <f>LOOKUP(E3,攻击!A3:A11,攻击!Z3:Z11)</f>
        <v>1</v>
      </c>
      <c r="R3" s="12">
        <f>LOOKUP(F3,技能!A3:A11,技能!AC3:AC11)</f>
        <v>2</v>
      </c>
      <c r="S3" s="12" t="s">
        <v>195</v>
      </c>
      <c r="T3" s="12" t="s">
        <v>192</v>
      </c>
      <c r="U3" s="79">
        <v>0.3</v>
      </c>
      <c r="V3" s="63">
        <v>1.3</v>
      </c>
      <c r="W3" s="12">
        <f>Q3*R3*U3*V3*(K3/全局!$E$19)*LOOKUP(J3,全局!$C$23:$C$27,全局!$E$23:$E$27)*LOOKUP(G3,全局!$C$31:$L$31,全局!$C$32:$L$32)</f>
        <v>1.0296000000000001</v>
      </c>
    </row>
    <row r="4" spans="1:23">
      <c r="A4" s="32">
        <v>1003</v>
      </c>
      <c r="B4" s="33" t="s">
        <v>174</v>
      </c>
      <c r="C4" s="33">
        <v>1</v>
      </c>
      <c r="D4" s="33">
        <v>3</v>
      </c>
      <c r="E4" s="39">
        <f t="shared" si="1"/>
        <v>1003</v>
      </c>
      <c r="F4" s="39">
        <f t="shared" si="2"/>
        <v>1003</v>
      </c>
      <c r="G4" s="29">
        <v>1</v>
      </c>
      <c r="H4" s="39">
        <f>INT(U4*LOOKUP(D4,全局!$B$9:$G$9,全局!$B$13:$G$13))</f>
        <v>28</v>
      </c>
      <c r="I4" s="39">
        <f>INT(V4*LOOKUP(D4,全局!$B$9:$G$9,全局!$B$14:$G$14))</f>
        <v>641</v>
      </c>
      <c r="J4" s="33">
        <f>VLOOKUP(S4,全局!$B$23:$D$27,2,FALSE)</f>
        <v>1.5</v>
      </c>
      <c r="K4" s="33">
        <f>VLOOKUP(T4,全局!$B$23:$D$27,3,FALSE)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177</v>
      </c>
      <c r="Q4" s="12">
        <f>LOOKUP(E4,攻击!A4:A12,攻击!Z4:Z12)</f>
        <v>1</v>
      </c>
      <c r="R4" s="12">
        <f>LOOKUP(F4,技能!A4:A12,技能!AC4:AC12)</f>
        <v>1.7999999999999998</v>
      </c>
      <c r="S4" s="12" t="s">
        <v>193</v>
      </c>
      <c r="T4" s="12" t="s">
        <v>193</v>
      </c>
      <c r="U4" s="79">
        <v>0.25</v>
      </c>
      <c r="V4" s="63">
        <v>1.4</v>
      </c>
      <c r="W4" s="12">
        <f>Q4*R4*U4*V4*(K4/全局!$E$19)*LOOKUP(J4,全局!$C$23:$C$27,全局!$E$23:$E$27)*LOOKUP(G4,全局!$C$31:$L$31,全局!$C$32:$L$32)</f>
        <v>1.0394999999999999</v>
      </c>
    </row>
    <row r="5" spans="1:23">
      <c r="A5" s="32">
        <v>2001</v>
      </c>
      <c r="B5" s="33" t="s">
        <v>170</v>
      </c>
      <c r="C5" s="33">
        <v>2</v>
      </c>
      <c r="D5" s="33">
        <v>4</v>
      </c>
      <c r="E5" s="39">
        <f t="shared" si="1"/>
        <v>2001</v>
      </c>
      <c r="F5" s="39">
        <f t="shared" si="2"/>
        <v>2001</v>
      </c>
      <c r="G5" s="29">
        <v>9</v>
      </c>
      <c r="H5" s="39">
        <f>INT(U5*LOOKUP(D5,全局!$B$9:$G$9,全局!$B$13:$G$13))</f>
        <v>200</v>
      </c>
      <c r="I5" s="39">
        <f>INT(V5*LOOKUP(D5,全局!$B$9:$G$9,全局!$B$14:$G$14))</f>
        <v>301</v>
      </c>
      <c r="J5" s="33">
        <f>VLOOKUP(S5,全局!$B$23:$D$27,2,FALSE)</f>
        <v>0.5</v>
      </c>
      <c r="K5" s="33">
        <f>VLOOKUP(T5,全局!$B$23:$D$27,3,FALSE)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171</v>
      </c>
      <c r="Q5" s="12">
        <f>LOOKUP(E5,攻击!A5:A13,攻击!Z5:Z13)</f>
        <v>1</v>
      </c>
      <c r="R5" s="12">
        <f>LOOKUP(F5,技能!A5:A13,技能!AC5:AC13)</f>
        <v>2.6</v>
      </c>
      <c r="S5" s="12" t="s">
        <v>194</v>
      </c>
      <c r="T5" s="12" t="s">
        <v>194</v>
      </c>
      <c r="U5" s="79">
        <v>1.2</v>
      </c>
      <c r="V5" s="63">
        <v>0.45</v>
      </c>
      <c r="W5" s="12">
        <f>Q5*R5*U5*V5*(K5/全局!$E$19)*LOOKUP(J5,全局!$C$23:$C$27,全局!$E$23:$E$27)*LOOKUP(G5,全局!$C$31:$L$31,全局!$C$32:$L$32)</f>
        <v>1.0108800000000002</v>
      </c>
    </row>
    <row r="6" spans="1:23">
      <c r="A6" s="32">
        <v>2002</v>
      </c>
      <c r="B6" s="39" t="s">
        <v>172</v>
      </c>
      <c r="C6" s="39">
        <v>2</v>
      </c>
      <c r="D6" s="39">
        <v>2</v>
      </c>
      <c r="E6" s="39">
        <f t="shared" si="1"/>
        <v>2002</v>
      </c>
      <c r="F6" s="39">
        <f t="shared" si="2"/>
        <v>2002</v>
      </c>
      <c r="G6" s="29">
        <v>6</v>
      </c>
      <c r="H6" s="39">
        <f>INT(U6*LOOKUP(D6,全局!$B$9:$G$9,全局!$B$13:$G$13))</f>
        <v>39</v>
      </c>
      <c r="I6" s="39">
        <f>INT(V6*LOOKUP(D6,全局!$B$9:$G$9,全局!$B$14:$G$14))</f>
        <v>97</v>
      </c>
      <c r="J6" s="33">
        <f>VLOOKUP(S6,全局!$B$23:$D$27,2,FALSE)</f>
        <v>1</v>
      </c>
      <c r="K6" s="33">
        <f>VLOOKUP(T6,全局!$B$23:$D$27,3,FALSE)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173</v>
      </c>
      <c r="Q6" s="12">
        <f>LOOKUP(E6,攻击!A6:A14,攻击!Z6:Z14)</f>
        <v>1</v>
      </c>
      <c r="R6" s="12">
        <f>LOOKUP(F6,技能!A6:A14,技能!AC6:AC14)</f>
        <v>1.7999999999999998</v>
      </c>
      <c r="S6" s="1" t="s">
        <v>192</v>
      </c>
      <c r="T6" s="12" t="s">
        <v>193</v>
      </c>
      <c r="U6" s="79">
        <v>0.65</v>
      </c>
      <c r="V6" s="63">
        <v>0.4</v>
      </c>
      <c r="W6" s="12">
        <f>Q6*R6*U6*V6*(K6/全局!$E$19)*LOOKUP(J6,全局!$C$23:$C$27,全局!$E$23:$E$27)*LOOKUP(G6,全局!$C$31:$L$31,全局!$C$32:$L$32)</f>
        <v>1.0529999999999999</v>
      </c>
    </row>
    <row r="7" spans="1:23">
      <c r="A7" s="32">
        <v>2003</v>
      </c>
      <c r="B7" s="39" t="s">
        <v>175</v>
      </c>
      <c r="C7" s="39">
        <v>2</v>
      </c>
      <c r="D7" s="39">
        <v>3</v>
      </c>
      <c r="E7" s="39">
        <f t="shared" si="1"/>
        <v>2003</v>
      </c>
      <c r="F7" s="39">
        <f t="shared" si="2"/>
        <v>2003</v>
      </c>
      <c r="G7" s="29">
        <v>4</v>
      </c>
      <c r="H7" s="39">
        <f>INT(U7*LOOKUP(D7,全局!$B$9:$G$9,全局!$B$13:$G$13))</f>
        <v>85</v>
      </c>
      <c r="I7" s="39">
        <f>INT(V7*LOOKUP(D7,全局!$B$9:$G$9,全局!$B$14:$G$14))</f>
        <v>229</v>
      </c>
      <c r="J7" s="33">
        <f>VLOOKUP(S7,全局!$B$23:$D$27,2,FALSE)</f>
        <v>1.5</v>
      </c>
      <c r="K7" s="33">
        <f>VLOOKUP(T7,全局!$B$23:$D$27,3,FALSE)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178</v>
      </c>
      <c r="Q7" s="12">
        <f>LOOKUP(E7,攻击!A7:A15,攻击!Z7:Z15)</f>
        <v>1</v>
      </c>
      <c r="R7" s="12">
        <f>LOOKUP(F7,技能!A7:A15,技能!AC7:AC15)</f>
        <v>2</v>
      </c>
      <c r="S7" s="12" t="s">
        <v>193</v>
      </c>
      <c r="T7" s="12" t="s">
        <v>192</v>
      </c>
      <c r="U7" s="79">
        <v>0.75</v>
      </c>
      <c r="V7" s="63">
        <v>0.5</v>
      </c>
      <c r="W7" s="12">
        <f>Q7*R7*U7*V7*(K7/全局!$E$19)*LOOKUP(J7,全局!$C$23:$C$27,全局!$E$23:$E$27)*LOOKUP(G7,全局!$C$31:$L$31,全局!$C$32:$L$32)</f>
        <v>1.0725000000000002</v>
      </c>
    </row>
    <row r="8" spans="1:23">
      <c r="A8" s="32">
        <v>3001</v>
      </c>
      <c r="B8" s="39" t="s">
        <v>180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4</v>
      </c>
      <c r="H8" s="39">
        <f>INT(U8*LOOKUP(D8,全局!$B$9:$G$9,全局!$B$13:$G$13))</f>
        <v>75</v>
      </c>
      <c r="I8" s="39">
        <f>INT(V8*LOOKUP(D8,全局!$B$9:$G$9,全局!$B$14:$G$14))</f>
        <v>569</v>
      </c>
      <c r="J8" s="33">
        <f>VLOOKUP(S8,全局!$B$23:$D$27,2,FALSE)</f>
        <v>1</v>
      </c>
      <c r="K8" s="33">
        <f>VLOOKUP(T8,全局!$B$23:$D$27,3,FALSE)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156</v>
      </c>
      <c r="Q8" s="12">
        <f>LOOKUP(E8,攻击!A8:A16,攻击!Z8:Z16)</f>
        <v>1</v>
      </c>
      <c r="R8" s="12">
        <f>LOOKUP(F8,技能!A8:A16,技能!AC8:AC16)</f>
        <v>2.16</v>
      </c>
      <c r="S8" s="12" t="s">
        <v>192</v>
      </c>
      <c r="T8" s="12" t="s">
        <v>192</v>
      </c>
      <c r="U8" s="79">
        <v>0.45</v>
      </c>
      <c r="V8" s="63">
        <v>0.85</v>
      </c>
      <c r="W8" s="12">
        <f>Q8*R8*U8*V8*(K8/全局!$E$19)*LOOKUP(J8,全局!$C$23:$C$27,全局!$E$23:$E$27)*LOOKUP(G8,全局!$C$31:$L$31,全局!$C$32:$L$32)</f>
        <v>1.07406</v>
      </c>
    </row>
    <row r="9" spans="1:23">
      <c r="A9" s="32">
        <v>3002</v>
      </c>
      <c r="B9" s="33" t="s">
        <v>181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4</v>
      </c>
      <c r="H9" s="39">
        <f>INT(U9*LOOKUP(D9,全局!$B$9:$G$9,全局!$B$13:$G$13))</f>
        <v>18</v>
      </c>
      <c r="I9" s="39">
        <f>INT(V9*LOOKUP(D9,全局!$B$9:$G$9,全局!$B$14:$G$14))</f>
        <v>183</v>
      </c>
      <c r="J9" s="33">
        <f>VLOOKUP(S9,全局!$B$23:$D$27,2,FALSE)</f>
        <v>2</v>
      </c>
      <c r="K9" s="33">
        <f>VLOOKUP(T9,全局!$B$23:$D$27,3,FALSE)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183</v>
      </c>
      <c r="Q9" s="12">
        <f>LOOKUP(E9,攻击!A9:A17,攻击!Z9:Z17)</f>
        <v>1</v>
      </c>
      <c r="R9" s="12">
        <f>LOOKUP(F9,技能!A9:A17,技能!AC9:AC17)</f>
        <v>2.0499999999999998</v>
      </c>
      <c r="S9" s="12" t="s">
        <v>195</v>
      </c>
      <c r="T9" s="12" t="s">
        <v>193</v>
      </c>
      <c r="U9" s="79">
        <v>0.3</v>
      </c>
      <c r="V9" s="63">
        <v>0.75</v>
      </c>
      <c r="W9" s="12">
        <f>Q9*R9*U9*V9*(K9/全局!$E$19)*LOOKUP(J9,全局!$C$23:$C$27,全局!$E$23:$E$27)*LOOKUP(G9,全局!$C$31:$L$31,全局!$C$32:$L$32)</f>
        <v>1.0793249999999999</v>
      </c>
    </row>
    <row r="10" spans="1:23">
      <c r="A10" s="32">
        <v>3003</v>
      </c>
      <c r="B10" s="39" t="s">
        <v>176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3</v>
      </c>
      <c r="H10" s="39">
        <f>INT(U10*LOOKUP(D10,全局!$B$9:$G$9,全局!$B$13:$G$13))</f>
        <v>10</v>
      </c>
      <c r="I10" s="39">
        <f>INT(V10*LOOKUP(D10,全局!$B$9:$G$9,全局!$B$14:$G$14))</f>
        <v>80</v>
      </c>
      <c r="J10" s="33">
        <f>VLOOKUP(S10,全局!$B$23:$D$27,2,FALSE)</f>
        <v>1.5</v>
      </c>
      <c r="K10" s="33">
        <f>VLOOKUP(T10,全局!$B$23:$D$27,3,FALSE)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179</v>
      </c>
      <c r="Q10" s="12">
        <f>LOOKUP(E10,攻击!A10:A18,攻击!Z10:Z18)</f>
        <v>1</v>
      </c>
      <c r="R10" s="12">
        <f>LOOKUP(F10,技能!A10:A18,技能!AC10:AC18)</f>
        <v>2</v>
      </c>
      <c r="S10" s="12" t="s">
        <v>193</v>
      </c>
      <c r="T10" s="12" t="s">
        <v>195</v>
      </c>
      <c r="U10" s="79">
        <v>0.4</v>
      </c>
      <c r="V10" s="63">
        <v>0.8</v>
      </c>
      <c r="W10" s="12">
        <f>Q10*R10*U10*V10*(K10/全局!$E$19)*LOOKUP(J10,全局!$C$23:$C$27,全局!$E$23:$E$27)*LOOKUP(G10,全局!$C$31:$L$31,全局!$C$32:$L$32)</f>
        <v>1.6896000000000004</v>
      </c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82" t="s">
        <v>121</v>
      </c>
      <c r="G14" s="83"/>
      <c r="R14" s="60"/>
      <c r="W14" s="60"/>
    </row>
    <row r="15" spans="1:23" s="10" customFormat="1">
      <c r="C15" s="2" t="s">
        <v>32</v>
      </c>
      <c r="D15" s="23" t="s">
        <v>105</v>
      </c>
      <c r="E15" s="2">
        <v>1</v>
      </c>
      <c r="F15" s="84" t="s">
        <v>122</v>
      </c>
      <c r="G15" s="85"/>
      <c r="H15" s="12"/>
      <c r="R15" s="60"/>
      <c r="W15" s="60"/>
    </row>
    <row r="16" spans="1:23" s="10" customFormat="1">
      <c r="C16" s="2" t="s">
        <v>33</v>
      </c>
      <c r="D16" s="23" t="s">
        <v>106</v>
      </c>
      <c r="E16" s="2">
        <v>2</v>
      </c>
      <c r="F16" s="84" t="s">
        <v>123</v>
      </c>
      <c r="G16" s="85"/>
      <c r="H16" s="12"/>
      <c r="R16" s="60"/>
      <c r="W16" s="60"/>
    </row>
    <row r="17" spans="2:23" s="10" customFormat="1">
      <c r="C17" s="2" t="s">
        <v>34</v>
      </c>
      <c r="D17" s="23" t="s">
        <v>107</v>
      </c>
      <c r="E17" s="2">
        <v>3</v>
      </c>
      <c r="F17" s="84" t="s">
        <v>124</v>
      </c>
      <c r="G17" s="85"/>
      <c r="H17" s="12"/>
      <c r="R17" s="60"/>
      <c r="W17" s="60"/>
    </row>
    <row r="18" spans="2:23" s="10" customFormat="1">
      <c r="R18" s="60"/>
      <c r="W18" s="60"/>
    </row>
    <row r="19" spans="2:23" s="10" customFormat="1">
      <c r="B19" s="16" t="s">
        <v>120</v>
      </c>
      <c r="R19" s="60"/>
      <c r="W19" s="60"/>
    </row>
    <row r="20" spans="2:23" s="10" customFormat="1">
      <c r="R20" s="60"/>
      <c r="W20" s="60"/>
    </row>
    <row r="21" spans="2:23" s="10" customFormat="1">
      <c r="B21" s="16" t="s">
        <v>109</v>
      </c>
      <c r="R21" s="60"/>
      <c r="W21" s="60"/>
    </row>
    <row r="22" spans="2:23" s="10" customFormat="1">
      <c r="B22" s="16"/>
      <c r="R22" s="60"/>
      <c r="W22" s="60"/>
    </row>
    <row r="23" spans="2:23" s="10" customFormat="1">
      <c r="B23" s="16" t="s">
        <v>158</v>
      </c>
      <c r="R23" s="60"/>
      <c r="W23" s="60"/>
    </row>
    <row r="24" spans="2:23" s="10" customFormat="1">
      <c r="B24" s="16"/>
      <c r="R24" s="60"/>
      <c r="W24" s="60"/>
    </row>
    <row r="25" spans="2:23" s="10" customFormat="1">
      <c r="B25" s="40" t="s">
        <v>129</v>
      </c>
      <c r="R25" s="60"/>
      <c r="W25" s="60"/>
    </row>
    <row r="26" spans="2:23" s="10" customFormat="1">
      <c r="B26" s="16"/>
      <c r="R26" s="60"/>
      <c r="W26" s="60"/>
    </row>
    <row r="27" spans="2:23" s="10" customFormat="1">
      <c r="R27" s="60"/>
      <c r="W27" s="60"/>
    </row>
    <row r="28" spans="2:23" s="10" customFormat="1">
      <c r="B28" s="10" t="str">
        <f>"--------------以下字段不会出现在config表中--------------"</f>
        <v>--------------以下字段不会出现在config表中--------------</v>
      </c>
      <c r="R28" s="60"/>
      <c r="W28" s="60"/>
    </row>
    <row r="29" spans="2:23" s="10" customFormat="1">
      <c r="R29" s="60"/>
      <c r="W29" s="60"/>
    </row>
    <row r="30" spans="2:23" s="10" customFormat="1">
      <c r="R30" s="60"/>
      <c r="W30" s="60"/>
    </row>
    <row r="31" spans="2:23" s="10" customFormat="1">
      <c r="B31" s="41" t="s">
        <v>131</v>
      </c>
      <c r="R31" s="60"/>
      <c r="W31" s="60"/>
    </row>
    <row r="32" spans="2:23" s="10" customFormat="1">
      <c r="B32" s="41"/>
      <c r="R32" s="60"/>
      <c r="W32" s="60"/>
    </row>
    <row r="33" spans="2:23" s="10" customFormat="1">
      <c r="B33" s="41" t="s">
        <v>132</v>
      </c>
      <c r="R33" s="60"/>
      <c r="W33" s="60"/>
    </row>
    <row r="34" spans="2:23" s="10" customFormat="1">
      <c r="B34" s="41"/>
      <c r="R34" s="60"/>
      <c r="W34" s="60"/>
    </row>
    <row r="35" spans="2:23" s="10" customFormat="1">
      <c r="B35" s="41" t="s">
        <v>130</v>
      </c>
      <c r="R35" s="60"/>
      <c r="W35" s="60"/>
    </row>
    <row r="36" spans="2:23" s="10" customFormat="1">
      <c r="B36" s="41"/>
      <c r="R36" s="60"/>
      <c r="W36" s="60"/>
    </row>
    <row r="37" spans="2:23" s="10" customFormat="1">
      <c r="B37" s="41" t="s">
        <v>133</v>
      </c>
      <c r="R37" s="60"/>
      <c r="W37" s="60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T12" sqref="T12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185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236</v>
      </c>
      <c r="K1" s="49" t="s">
        <v>242</v>
      </c>
      <c r="L1" s="49" t="s">
        <v>243</v>
      </c>
      <c r="M1" s="49" t="s">
        <v>239</v>
      </c>
      <c r="N1" s="49" t="s">
        <v>240</v>
      </c>
      <c r="O1" s="49" t="s">
        <v>244</v>
      </c>
      <c r="P1" s="49" t="s">
        <v>187</v>
      </c>
      <c r="Q1" s="69" t="s">
        <v>188</v>
      </c>
      <c r="R1" s="36" t="s">
        <v>230</v>
      </c>
      <c r="S1" s="36" t="s">
        <v>231</v>
      </c>
      <c r="T1" s="59" t="s">
        <v>232</v>
      </c>
      <c r="U1" s="21" t="s">
        <v>233</v>
      </c>
      <c r="V1" s="21" t="s">
        <v>234</v>
      </c>
      <c r="W1" s="42" t="s">
        <v>235</v>
      </c>
      <c r="X1" s="21" t="s">
        <v>163</v>
      </c>
      <c r="Y1" s="21" t="s">
        <v>162</v>
      </c>
      <c r="Z1" s="42" t="s">
        <v>251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7"/>
      <c r="L2" s="43" t="str">
        <f t="shared" ref="L2:L10" si="1">"Bullet_"&amp;A2&amp;"_2"</f>
        <v>Bullet_1001_2</v>
      </c>
      <c r="M2" s="77"/>
      <c r="N2" s="43" t="str">
        <f>"Bullet_"&amp;A2&amp;"_3"</f>
        <v>Bullet_1001_3</v>
      </c>
      <c r="O2" s="77"/>
      <c r="P2" s="43" t="str">
        <f t="shared" ref="P2:P10" si="2">"AttackVoiceIdle_"&amp;A2</f>
        <v>AttackVoiceIdle_1001</v>
      </c>
      <c r="Q2" s="70"/>
      <c r="R2" s="71">
        <v>2</v>
      </c>
      <c r="S2" s="71">
        <v>0</v>
      </c>
      <c r="T2" s="72">
        <v>0</v>
      </c>
      <c r="U2" s="71">
        <v>0</v>
      </c>
      <c r="V2" s="71">
        <v>0</v>
      </c>
      <c r="W2" s="72">
        <v>0</v>
      </c>
      <c r="Y2" s="75">
        <f>IF(X2="攻击力",1,0)+IF(X2="血量上限",1,0)</f>
        <v>0</v>
      </c>
      <c r="Z2" s="80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7"/>
      <c r="L3" s="43" t="str">
        <f t="shared" si="1"/>
        <v>Bullet_1002_2</v>
      </c>
      <c r="M3" s="77"/>
      <c r="N3" s="43" t="str">
        <f t="shared" ref="N3:N10" si="5">"Bullet_"&amp;A3&amp;"_3"</f>
        <v>Bullet_1002_3</v>
      </c>
      <c r="O3" s="77">
        <v>1</v>
      </c>
      <c r="P3" s="43" t="str">
        <f t="shared" si="2"/>
        <v>AttackVoiceIdle_1002</v>
      </c>
      <c r="Q3" s="70"/>
      <c r="R3" s="71">
        <v>0</v>
      </c>
      <c r="S3" s="71">
        <v>0</v>
      </c>
      <c r="T3" s="72">
        <v>0</v>
      </c>
      <c r="U3" s="71">
        <v>0</v>
      </c>
      <c r="V3" s="71">
        <v>0</v>
      </c>
      <c r="W3" s="72">
        <v>0</v>
      </c>
      <c r="Y3" s="75">
        <f t="shared" ref="Y3:Y10" si="6">IF(X3="攻击力",1,0)+IF(X3="血量上限",1,0)</f>
        <v>0</v>
      </c>
      <c r="Z3" s="80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7"/>
      <c r="L4" s="43" t="str">
        <f t="shared" si="1"/>
        <v>Bullet_1003_2</v>
      </c>
      <c r="M4" s="77"/>
      <c r="N4" s="43" t="str">
        <f t="shared" si="5"/>
        <v>Bullet_1003_3</v>
      </c>
      <c r="O4" s="77"/>
      <c r="P4" s="43" t="str">
        <f t="shared" si="2"/>
        <v>AttackVoiceIdle_1003</v>
      </c>
      <c r="Q4" s="70"/>
      <c r="R4" s="71">
        <v>0</v>
      </c>
      <c r="S4" s="71">
        <v>0</v>
      </c>
      <c r="T4" s="72">
        <v>0</v>
      </c>
      <c r="U4" s="71">
        <v>0</v>
      </c>
      <c r="V4" s="71">
        <v>0</v>
      </c>
      <c r="W4" s="72">
        <v>0</v>
      </c>
      <c r="Y4" s="75">
        <f t="shared" si="6"/>
        <v>0</v>
      </c>
      <c r="Z4" s="80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0,9,0</v>
      </c>
      <c r="J5" s="34" t="str">
        <f t="shared" si="0"/>
        <v>Bullet_2001_1</v>
      </c>
      <c r="K5" s="77">
        <v>6</v>
      </c>
      <c r="L5" s="43" t="str">
        <f t="shared" si="1"/>
        <v>Bullet_2001_2</v>
      </c>
      <c r="M5" s="77"/>
      <c r="N5" s="43" t="str">
        <f t="shared" si="5"/>
        <v>Bullet_2001_3</v>
      </c>
      <c r="O5" s="77">
        <v>6</v>
      </c>
      <c r="P5" s="43" t="str">
        <f t="shared" si="2"/>
        <v>AttackVoiceIdle_2001</v>
      </c>
      <c r="Q5" s="70" t="str">
        <f t="shared" ref="Q5:Q10" si="8">"AttackVoiceHurt_"&amp;A5</f>
        <v>AttackVoiceHurt_2001</v>
      </c>
      <c r="R5" s="71">
        <v>0</v>
      </c>
      <c r="S5" s="71">
        <v>9</v>
      </c>
      <c r="T5" s="72">
        <v>0</v>
      </c>
      <c r="U5" s="71">
        <v>0</v>
      </c>
      <c r="V5" s="71">
        <v>0</v>
      </c>
      <c r="W5" s="72">
        <v>0</v>
      </c>
      <c r="Y5" s="75">
        <f t="shared" si="6"/>
        <v>0</v>
      </c>
      <c r="Z5" s="80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0,6,0</v>
      </c>
      <c r="J6" s="34" t="str">
        <f t="shared" si="0"/>
        <v>Bullet_2002_1</v>
      </c>
      <c r="K6" s="77">
        <v>8</v>
      </c>
      <c r="L6" s="43" t="str">
        <f t="shared" si="1"/>
        <v>Bullet_2002_2</v>
      </c>
      <c r="M6" s="77"/>
      <c r="N6" s="43" t="str">
        <f t="shared" si="5"/>
        <v>Bullet_2002_3</v>
      </c>
      <c r="O6" s="77"/>
      <c r="P6" s="43" t="str">
        <f t="shared" si="2"/>
        <v>AttackVoiceIdle_2002</v>
      </c>
      <c r="Q6" s="70" t="str">
        <f t="shared" si="8"/>
        <v>AttackVoiceHurt_2002</v>
      </c>
      <c r="R6" s="71">
        <v>0</v>
      </c>
      <c r="S6" s="71">
        <v>6</v>
      </c>
      <c r="T6" s="72">
        <v>0</v>
      </c>
      <c r="U6" s="71">
        <v>0</v>
      </c>
      <c r="V6" s="71">
        <v>0</v>
      </c>
      <c r="W6" s="72">
        <v>0</v>
      </c>
      <c r="Y6" s="75">
        <f t="shared" si="6"/>
        <v>0</v>
      </c>
      <c r="Z6" s="80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0,7,0</v>
      </c>
      <c r="J7" s="34" t="str">
        <f t="shared" si="0"/>
        <v>Bullet_2003_1</v>
      </c>
      <c r="K7" s="76">
        <v>1</v>
      </c>
      <c r="L7" s="43" t="str">
        <f t="shared" si="1"/>
        <v>Bullet_2003_2</v>
      </c>
      <c r="M7" s="77"/>
      <c r="N7" s="43" t="str">
        <f t="shared" si="5"/>
        <v>Bullet_2003_3</v>
      </c>
      <c r="O7" s="77"/>
      <c r="P7" s="43" t="str">
        <f t="shared" si="2"/>
        <v>AttackVoiceIdle_2003</v>
      </c>
      <c r="Q7" s="70" t="str">
        <f t="shared" si="8"/>
        <v>AttackVoiceHurt_2003</v>
      </c>
      <c r="R7" s="71">
        <v>0</v>
      </c>
      <c r="S7" s="71">
        <v>7</v>
      </c>
      <c r="T7" s="72">
        <v>0</v>
      </c>
      <c r="U7" s="71">
        <v>0</v>
      </c>
      <c r="V7" s="71">
        <v>0</v>
      </c>
      <c r="W7" s="72">
        <v>0</v>
      </c>
      <c r="Y7" s="75">
        <f t="shared" si="6"/>
        <v>0</v>
      </c>
      <c r="Z7" s="80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6">
        <v>10</v>
      </c>
      <c r="L8" s="43" t="str">
        <f t="shared" si="1"/>
        <v>Bullet_3001_2</v>
      </c>
      <c r="M8" s="77"/>
      <c r="N8" s="43" t="str">
        <f t="shared" si="5"/>
        <v>Bullet_3001_3</v>
      </c>
      <c r="O8" s="77"/>
      <c r="P8" s="43" t="str">
        <f t="shared" si="2"/>
        <v>AttackVoiceIdle_3001</v>
      </c>
      <c r="Q8" s="70" t="str">
        <f t="shared" si="8"/>
        <v>AttackVoiceHurt_3001</v>
      </c>
      <c r="R8" s="71">
        <v>0</v>
      </c>
      <c r="S8" s="71">
        <v>1</v>
      </c>
      <c r="T8" s="72">
        <v>0</v>
      </c>
      <c r="U8" s="71">
        <v>0</v>
      </c>
      <c r="V8" s="71">
        <v>0</v>
      </c>
      <c r="W8" s="72">
        <v>0</v>
      </c>
      <c r="Y8" s="75">
        <f t="shared" si="6"/>
        <v>0</v>
      </c>
      <c r="Z8" s="80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0,7,0</v>
      </c>
      <c r="J9" s="34" t="str">
        <f t="shared" si="0"/>
        <v>Bullet_3002_1</v>
      </c>
      <c r="K9" s="76">
        <v>5</v>
      </c>
      <c r="L9" s="43" t="str">
        <f t="shared" si="1"/>
        <v>Bullet_3002_2</v>
      </c>
      <c r="M9" s="77"/>
      <c r="N9" s="43" t="str">
        <f t="shared" si="5"/>
        <v>Bullet_3002_3</v>
      </c>
      <c r="O9" s="77"/>
      <c r="P9" s="43" t="str">
        <f t="shared" si="2"/>
        <v>AttackVoiceIdle_3002</v>
      </c>
      <c r="Q9" s="70" t="str">
        <f t="shared" si="8"/>
        <v>AttackVoiceHurt_3002</v>
      </c>
      <c r="R9" s="71">
        <v>0</v>
      </c>
      <c r="S9" s="71">
        <v>7</v>
      </c>
      <c r="T9" s="72">
        <v>0</v>
      </c>
      <c r="U9" s="71">
        <v>0</v>
      </c>
      <c r="V9" s="71">
        <v>0</v>
      </c>
      <c r="W9" s="72">
        <v>0</v>
      </c>
      <c r="Y9" s="75">
        <f t="shared" si="6"/>
        <v>0</v>
      </c>
      <c r="Z9" s="80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6">
        <v>1</v>
      </c>
      <c r="L10" s="43" t="str">
        <f t="shared" si="1"/>
        <v>Bullet_3003_2</v>
      </c>
      <c r="M10" s="77">
        <v>9</v>
      </c>
      <c r="N10" s="43" t="str">
        <f t="shared" si="5"/>
        <v>Bullet_3003_3</v>
      </c>
      <c r="O10" s="76"/>
      <c r="P10" s="43" t="str">
        <f t="shared" si="2"/>
        <v>AttackVoiceIdle_3003</v>
      </c>
      <c r="Q10" s="70" t="str">
        <f t="shared" si="8"/>
        <v>AttackVoiceHurt_3003</v>
      </c>
      <c r="R10" s="71">
        <v>0</v>
      </c>
      <c r="S10" s="71">
        <v>8</v>
      </c>
      <c r="T10" s="72">
        <v>0</v>
      </c>
      <c r="U10" s="71">
        <v>0</v>
      </c>
      <c r="V10" s="71">
        <v>0</v>
      </c>
      <c r="W10" s="72">
        <v>0</v>
      </c>
      <c r="Y10" s="75">
        <f t="shared" si="6"/>
        <v>0</v>
      </c>
      <c r="Z10" s="80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159</v>
      </c>
    </row>
    <row r="18" spans="2:2">
      <c r="B18" s="16"/>
    </row>
    <row r="19" spans="2:2">
      <c r="B19" s="16" t="s">
        <v>186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hidden="1" customWidth="1"/>
    <col min="13" max="13" width="9" style="51" hidden="1" customWidth="1"/>
    <col min="14" max="14" width="15" style="51" hidden="1" customWidth="1"/>
    <col min="15" max="15" width="9" style="51" hidden="1" customWidth="1"/>
    <col min="16" max="16" width="15" style="51" hidden="1" customWidth="1"/>
    <col min="17" max="19" width="9" style="51" hidden="1" customWidth="1"/>
    <col min="20" max="20" width="9" style="61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185</v>
      </c>
      <c r="H1" s="21" t="s">
        <v>114</v>
      </c>
      <c r="I1" s="21" t="s">
        <v>135</v>
      </c>
      <c r="J1" s="21" t="s">
        <v>184</v>
      </c>
      <c r="K1" s="21" t="s">
        <v>118</v>
      </c>
      <c r="L1" s="49" t="s">
        <v>236</v>
      </c>
      <c r="M1" s="49" t="s">
        <v>238</v>
      </c>
      <c r="N1" s="49" t="s">
        <v>237</v>
      </c>
      <c r="O1" s="49" t="s">
        <v>239</v>
      </c>
      <c r="P1" s="49" t="s">
        <v>240</v>
      </c>
      <c r="Q1" s="49" t="s">
        <v>241</v>
      </c>
      <c r="R1" s="49" t="s">
        <v>187</v>
      </c>
      <c r="S1" s="49" t="s">
        <v>188</v>
      </c>
      <c r="T1" s="62" t="s">
        <v>85</v>
      </c>
      <c r="U1" s="36" t="s">
        <v>230</v>
      </c>
      <c r="V1" s="36" t="s">
        <v>231</v>
      </c>
      <c r="W1" s="36" t="s">
        <v>232</v>
      </c>
      <c r="X1" s="20" t="s">
        <v>233</v>
      </c>
      <c r="Y1" s="21" t="s">
        <v>234</v>
      </c>
      <c r="Z1" s="42" t="s">
        <v>235</v>
      </c>
      <c r="AA1" s="21" t="s">
        <v>163</v>
      </c>
      <c r="AB1" s="21" t="s">
        <v>162</v>
      </c>
      <c r="AC1" s="53" t="s">
        <v>27</v>
      </c>
      <c r="AD1" s="14" t="s">
        <v>252</v>
      </c>
    </row>
    <row r="2" spans="1:30" s="67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4" t="str">
        <f>X2&amp;","&amp;Y2&amp;","&amp;Z2</f>
        <v>5,0.5,0</v>
      </c>
      <c r="L2" s="44" t="str">
        <f t="shared" ref="L2:L10" si="0">"ASkill_"&amp;A2&amp;"_1"</f>
        <v>ASkill_1001_1</v>
      </c>
      <c r="M2" s="76"/>
      <c r="N2" s="44" t="str">
        <f t="shared" ref="N2:N10" si="1">"ASkill_"&amp;A2&amp;"_2"</f>
        <v>ASkill_1001_2</v>
      </c>
      <c r="O2" s="76">
        <v>8</v>
      </c>
      <c r="P2" s="44" t="str">
        <f t="shared" ref="P2:P10" si="2">"ASkill_"&amp;A2&amp;"_3"</f>
        <v>ASkill_1001_3</v>
      </c>
      <c r="Q2" s="76">
        <v>1</v>
      </c>
      <c r="R2" s="44" t="str">
        <f t="shared" ref="R2:R10" si="3">"ASkillVoiceRun_"&amp;A2</f>
        <v>ASkillVoiceRun_1001</v>
      </c>
      <c r="S2" s="44"/>
      <c r="T2" s="65" t="str">
        <f>"使周围的友军获得一个能吸收"&amp;Y2*100&amp;"%伤害的护盾,持续"&amp;X2&amp;"秒"</f>
        <v>使周围的友军获得一个能吸收50%伤害的护盾,持续5秒</v>
      </c>
      <c r="U2" s="63">
        <v>3</v>
      </c>
      <c r="V2" s="63">
        <v>0</v>
      </c>
      <c r="W2" s="63">
        <v>0</v>
      </c>
      <c r="X2" s="73">
        <v>5</v>
      </c>
      <c r="Y2" s="63">
        <v>0.5</v>
      </c>
      <c r="Z2" s="74">
        <v>0</v>
      </c>
      <c r="AA2" s="66"/>
      <c r="AB2" s="75">
        <f>IF(AA2="攻击力",1,0)+IF(AA2="血量上限",1,0)</f>
        <v>0</v>
      </c>
      <c r="AC2" s="63">
        <f>(1+U2/2)/(1-Y2*IF(X2&gt;F2,F2,X2)/F2)</f>
        <v>3</v>
      </c>
      <c r="AD2" s="67">
        <f>兵种!K2</f>
        <v>0.5</v>
      </c>
    </row>
    <row r="3" spans="1:30" s="67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10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4" t="str">
        <f>X3&amp;","&amp;Y3&amp;","&amp;Z3</f>
        <v>5,1,0</v>
      </c>
      <c r="L3" s="44" t="str">
        <f t="shared" si="0"/>
        <v>ASkill_1002_1</v>
      </c>
      <c r="M3" s="76"/>
      <c r="N3" s="44" t="str">
        <f t="shared" si="1"/>
        <v>ASkill_1002_2</v>
      </c>
      <c r="O3" s="76"/>
      <c r="P3" s="44" t="str">
        <f t="shared" si="2"/>
        <v>ASkill_1002_3</v>
      </c>
      <c r="Q3" s="76">
        <v>1</v>
      </c>
      <c r="R3" s="44" t="str">
        <f t="shared" si="3"/>
        <v>ASkillVoiceRun_1002</v>
      </c>
      <c r="S3" s="44"/>
      <c r="T3" s="65" t="str">
        <f>"自身不会受到伤害,持续"&amp;X3&amp;"秒"</f>
        <v>自身不会受到伤害,持续5秒</v>
      </c>
      <c r="U3" s="63">
        <v>0</v>
      </c>
      <c r="V3" s="63">
        <v>0</v>
      </c>
      <c r="W3" s="63">
        <v>0</v>
      </c>
      <c r="X3" s="73">
        <v>5</v>
      </c>
      <c r="Y3" s="63">
        <v>1</v>
      </c>
      <c r="Z3" s="74">
        <v>0</v>
      </c>
      <c r="AA3" s="66"/>
      <c r="AB3" s="75">
        <f t="shared" ref="AB3:AB10" si="5">IF(AA3="攻击力",1,0)+IF(AA3="血量上限",1,0)</f>
        <v>0</v>
      </c>
      <c r="AC3" s="63">
        <f>1/(1-IF(X3&gt;F3,F3,X3)/F3)</f>
        <v>2</v>
      </c>
      <c r="AD3" s="67">
        <f>兵种!K3</f>
        <v>0.5</v>
      </c>
    </row>
    <row r="4" spans="1:30" s="67" customFormat="1">
      <c r="A4" s="38">
        <v>1003</v>
      </c>
      <c r="B4" s="39" t="s">
        <v>196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4" t="str">
        <f t="shared" ref="K4:K10" si="6">X4&amp;","&amp;Y4&amp;","&amp;Z4</f>
        <v>0,0,0</v>
      </c>
      <c r="L4" s="44" t="str">
        <f t="shared" si="0"/>
        <v>ASkill_1003_1</v>
      </c>
      <c r="M4" s="76"/>
      <c r="N4" s="44" t="str">
        <f t="shared" si="1"/>
        <v>ASkill_1003_2</v>
      </c>
      <c r="O4" s="76">
        <v>5</v>
      </c>
      <c r="P4" s="44" t="str">
        <f t="shared" si="2"/>
        <v>ASkill_1003_3</v>
      </c>
      <c r="Q4" s="76"/>
      <c r="R4" s="44" t="str">
        <f t="shared" si="3"/>
        <v>ASkillVoiceRun_1003</v>
      </c>
      <c r="S4" s="44"/>
      <c r="T4" s="65" t="str">
        <f>"对单个目标造成 攻击力*"&amp;E4*100&amp;"% 的伤害,冷却时间"&amp;F4&amp;"秒"</f>
        <v>对单个目标造成 攻击力*600% 的伤害,冷却时间10秒</v>
      </c>
      <c r="U4" s="63">
        <v>0</v>
      </c>
      <c r="V4" s="63">
        <v>0</v>
      </c>
      <c r="W4" s="63">
        <v>0</v>
      </c>
      <c r="X4" s="73">
        <v>0</v>
      </c>
      <c r="Y4" s="63">
        <v>0</v>
      </c>
      <c r="Z4" s="74">
        <v>0</v>
      </c>
      <c r="AA4" s="66"/>
      <c r="AB4" s="75">
        <f t="shared" si="5"/>
        <v>0</v>
      </c>
      <c r="AC4" s="63">
        <f>1+E4/F4/AD4</f>
        <v>1.7999999999999998</v>
      </c>
      <c r="AD4" s="67">
        <f>兵种!K4</f>
        <v>0.75</v>
      </c>
    </row>
    <row r="5" spans="1:30" s="67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1</v>
      </c>
      <c r="H5" s="39">
        <v>1</v>
      </c>
      <c r="I5" s="44" t="str">
        <f t="shared" si="4"/>
        <v>2,0,0</v>
      </c>
      <c r="J5" s="64"/>
      <c r="K5" s="64" t="str">
        <f t="shared" si="6"/>
        <v>0,0,0</v>
      </c>
      <c r="L5" s="44" t="str">
        <f t="shared" si="0"/>
        <v>ASkill_2001_1</v>
      </c>
      <c r="M5" s="76"/>
      <c r="N5" s="44" t="str">
        <f t="shared" si="1"/>
        <v>ASkill_2001_2</v>
      </c>
      <c r="O5" s="76">
        <v>13</v>
      </c>
      <c r="P5" s="44" t="str">
        <f t="shared" si="2"/>
        <v>ASkill_2001_3</v>
      </c>
      <c r="Q5" s="76"/>
      <c r="R5" s="44" t="str">
        <f t="shared" si="3"/>
        <v>ASkillVoiceRun_2001</v>
      </c>
      <c r="S5" s="44"/>
      <c r="T5" s="65" t="str">
        <f>"对目标及周围的所有敌人造成 攻击力*"&amp;E5*100&amp;"% 的伤害,冷却时间"&amp;F5&amp;"秒"</f>
        <v>对目标及周围的所有敌人造成 攻击力*200% 的伤害,冷却时间10秒</v>
      </c>
      <c r="U5" s="63">
        <v>2</v>
      </c>
      <c r="V5" s="63">
        <v>0</v>
      </c>
      <c r="W5" s="63">
        <v>0</v>
      </c>
      <c r="X5" s="73">
        <v>0</v>
      </c>
      <c r="Y5" s="63">
        <v>0</v>
      </c>
      <c r="Z5" s="74">
        <v>0</v>
      </c>
      <c r="AA5" s="66" t="s">
        <v>164</v>
      </c>
      <c r="AB5" s="75">
        <f t="shared" si="5"/>
        <v>0</v>
      </c>
      <c r="AC5" s="63">
        <f>1+(1+U5/2)*E5/F5/AD5</f>
        <v>2.6</v>
      </c>
      <c r="AD5" s="67">
        <f>兵种!K5</f>
        <v>0.25</v>
      </c>
    </row>
    <row r="6" spans="1:30" s="67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1</v>
      </c>
      <c r="I6" s="44" t="str">
        <f t="shared" si="4"/>
        <v>0,0,0</v>
      </c>
      <c r="J6" s="64"/>
      <c r="K6" s="64" t="str">
        <f t="shared" si="6"/>
        <v>0,0,0</v>
      </c>
      <c r="L6" s="44" t="str">
        <f t="shared" si="0"/>
        <v>ASkill_2002_1</v>
      </c>
      <c r="M6" s="76">
        <v>6</v>
      </c>
      <c r="N6" s="44" t="str">
        <f t="shared" si="1"/>
        <v>ASkill_2002_2</v>
      </c>
      <c r="O6" s="76">
        <v>9</v>
      </c>
      <c r="P6" s="44" t="str">
        <f t="shared" si="2"/>
        <v>ASkill_2002_3</v>
      </c>
      <c r="Q6" s="76"/>
      <c r="R6" s="44" t="str">
        <f t="shared" si="3"/>
        <v>ASkillVoiceRun_2002</v>
      </c>
      <c r="S6" s="44"/>
      <c r="T6" s="65" t="str">
        <f>"对单个目标造成 攻击力*"&amp;E6*100&amp;"% 的伤害,冷却时间"&amp;F6&amp;"秒"</f>
        <v>对单个目标造成 攻击力*600% 的伤害,冷却时间10秒</v>
      </c>
      <c r="U6" s="63">
        <v>0</v>
      </c>
      <c r="V6" s="63">
        <v>0</v>
      </c>
      <c r="W6" s="63">
        <v>0</v>
      </c>
      <c r="X6" s="73">
        <v>0</v>
      </c>
      <c r="Y6" s="63">
        <v>0</v>
      </c>
      <c r="Z6" s="74">
        <v>0</v>
      </c>
      <c r="AA6" s="66" t="s">
        <v>164</v>
      </c>
      <c r="AB6" s="75">
        <f t="shared" si="5"/>
        <v>0</v>
      </c>
      <c r="AC6" s="63">
        <f>1+E6/F6/AD6</f>
        <v>1.7999999999999998</v>
      </c>
      <c r="AD6" s="67">
        <f>兵种!K6</f>
        <v>0.75</v>
      </c>
    </row>
    <row r="7" spans="1:30" s="67" customFormat="1">
      <c r="A7" s="38">
        <v>2003</v>
      </c>
      <c r="B7" s="39" t="s">
        <v>197</v>
      </c>
      <c r="C7" s="39">
        <v>1</v>
      </c>
      <c r="D7" s="39">
        <v>1</v>
      </c>
      <c r="E7" s="44">
        <v>2.5</v>
      </c>
      <c r="F7" s="44">
        <v>15</v>
      </c>
      <c r="G7" s="44">
        <v>1</v>
      </c>
      <c r="H7" s="44">
        <v>4</v>
      </c>
      <c r="I7" s="44" t="str">
        <f t="shared" si="4"/>
        <v>0,6,4</v>
      </c>
      <c r="J7" s="64"/>
      <c r="K7" s="64" t="str">
        <f t="shared" si="6"/>
        <v>0,0,0</v>
      </c>
      <c r="L7" s="44" t="str">
        <f t="shared" si="0"/>
        <v>ASkill_2003_1</v>
      </c>
      <c r="M7" s="76">
        <v>1</v>
      </c>
      <c r="N7" s="44" t="str">
        <f t="shared" si="1"/>
        <v>ASkill_2003_2</v>
      </c>
      <c r="O7" s="76"/>
      <c r="P7" s="44" t="str">
        <f t="shared" si="2"/>
        <v>ASkill_2003_3</v>
      </c>
      <c r="Q7" s="76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5" t="str">
        <f>"扔出一个大手里剑,对碰到的所有敌人造成"&amp;E7*100&amp;"%的伤害"</f>
        <v>扔出一个大手里剑,对碰到的所有敌人造成250%的伤害</v>
      </c>
      <c r="U7" s="63">
        <v>0</v>
      </c>
      <c r="V7" s="63">
        <v>6</v>
      </c>
      <c r="W7" s="63">
        <v>4</v>
      </c>
      <c r="X7" s="73">
        <v>0</v>
      </c>
      <c r="Y7" s="63">
        <v>0</v>
      </c>
      <c r="Z7" s="74">
        <v>0</v>
      </c>
      <c r="AA7" s="66"/>
      <c r="AB7" s="75">
        <f t="shared" si="5"/>
        <v>0</v>
      </c>
      <c r="AC7" s="63">
        <f>1+(1+W7/2)*E7/F7/AD7</f>
        <v>2</v>
      </c>
      <c r="AD7" s="67">
        <f>兵种!K7</f>
        <v>0.5</v>
      </c>
    </row>
    <row r="8" spans="1:30" s="67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4" t="str">
        <f t="shared" si="6"/>
        <v>2,-10,-10</v>
      </c>
      <c r="L8" s="44" t="str">
        <f t="shared" si="0"/>
        <v>ASkill_3001_1</v>
      </c>
      <c r="M8" s="76">
        <v>10</v>
      </c>
      <c r="N8" s="44" t="str">
        <f t="shared" si="1"/>
        <v>ASkill_3001_2</v>
      </c>
      <c r="O8" s="76">
        <v>1</v>
      </c>
      <c r="P8" s="44" t="str">
        <f t="shared" si="2"/>
        <v>ASkill_3001_3</v>
      </c>
      <c r="Q8" s="76">
        <v>1</v>
      </c>
      <c r="R8" s="44" t="str">
        <f t="shared" si="3"/>
        <v>ASkillVoiceRun_3001</v>
      </c>
      <c r="S8" s="44"/>
      <c r="T8" s="65" t="str">
        <f>"对目标造成 攻击力*"&amp;E8*100&amp;"% 的伤害,并冻结"&amp;X8&amp;"秒,冷却时间"&amp;F8&amp;"秒"</f>
        <v>对目标造成 攻击力*400% 的伤害,并冻结2秒,冷却时间10秒</v>
      </c>
      <c r="U8" s="63">
        <v>0</v>
      </c>
      <c r="V8" s="63">
        <v>1.5</v>
      </c>
      <c r="W8" s="63">
        <v>0</v>
      </c>
      <c r="X8" s="73">
        <v>2</v>
      </c>
      <c r="Y8" s="63">
        <v>-10</v>
      </c>
      <c r="Z8" s="74">
        <v>-10</v>
      </c>
      <c r="AA8" s="66" t="s">
        <v>164</v>
      </c>
      <c r="AB8" s="75">
        <f t="shared" si="5"/>
        <v>0</v>
      </c>
      <c r="AC8" s="63">
        <f>(1+E8/F8/AD8)*(1+X8/F8)</f>
        <v>2.16</v>
      </c>
      <c r="AD8" s="67">
        <f>兵种!K8</f>
        <v>0.5</v>
      </c>
    </row>
    <row r="9" spans="1:30" s="67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20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4" t="str">
        <f t="shared" si="6"/>
        <v>5,2,2</v>
      </c>
      <c r="L9" s="44" t="str">
        <f t="shared" si="0"/>
        <v>ASkill_3002_1</v>
      </c>
      <c r="M9" s="76"/>
      <c r="N9" s="44" t="str">
        <f t="shared" si="1"/>
        <v>ASkill_3002_2</v>
      </c>
      <c r="O9" s="76">
        <v>4</v>
      </c>
      <c r="P9" s="44" t="str">
        <f t="shared" si="2"/>
        <v>ASkill_3002_3</v>
      </c>
      <c r="Q9" s="76">
        <v>4</v>
      </c>
      <c r="R9" s="44" t="str">
        <f t="shared" si="3"/>
        <v>ASkillVoiceRun_3002</v>
      </c>
      <c r="S9" s="44"/>
      <c r="T9" s="65" t="str">
        <f>"使周围的友军移动速度提升至"&amp;Y9*100&amp;"%,攻击速度提升至"&amp;Z9*100&amp;"%,持续"&amp;X9&amp;"秒"</f>
        <v>使周围的友军移动速度提升至200%,攻击速度提升至200%,持续5秒</v>
      </c>
      <c r="U9" s="63">
        <v>4</v>
      </c>
      <c r="V9" s="63">
        <v>0</v>
      </c>
      <c r="W9" s="63">
        <v>0</v>
      </c>
      <c r="X9" s="73">
        <v>5</v>
      </c>
      <c r="Y9" s="63">
        <v>2</v>
      </c>
      <c r="Z9" s="74">
        <v>2</v>
      </c>
      <c r="AA9" s="68"/>
      <c r="AB9" s="75">
        <f t="shared" si="5"/>
        <v>0</v>
      </c>
      <c r="AC9" s="63">
        <f>1+(1+U9/2)*(Z9*(1+(Y9-1)/5)-1)*X9/F9</f>
        <v>2.0499999999999998</v>
      </c>
      <c r="AD9" s="67">
        <f>兵种!K9</f>
        <v>0.75</v>
      </c>
    </row>
    <row r="10" spans="1:30" s="67" customFormat="1">
      <c r="A10" s="38">
        <v>3003</v>
      </c>
      <c r="B10" s="39" t="s">
        <v>190</v>
      </c>
      <c r="C10" s="39">
        <v>1</v>
      </c>
      <c r="D10" s="39">
        <v>2</v>
      </c>
      <c r="E10" s="44">
        <v>1</v>
      </c>
      <c r="F10" s="44">
        <v>10</v>
      </c>
      <c r="G10" s="44">
        <v>1</v>
      </c>
      <c r="H10" s="44">
        <v>7</v>
      </c>
      <c r="I10" s="44" t="str">
        <f t="shared" si="4"/>
        <v>0,6,10</v>
      </c>
      <c r="J10" s="39"/>
      <c r="K10" s="64" t="str">
        <f t="shared" si="6"/>
        <v>0,0,0</v>
      </c>
      <c r="L10" s="44" t="str">
        <f t="shared" si="0"/>
        <v>ASkill_3003_1</v>
      </c>
      <c r="M10" s="76">
        <v>1</v>
      </c>
      <c r="N10" s="44" t="str">
        <f t="shared" si="1"/>
        <v>ASkill_3003_2</v>
      </c>
      <c r="O10" s="76">
        <v>9</v>
      </c>
      <c r="P10" s="44" t="str">
        <f t="shared" si="2"/>
        <v>ASkill_3003_3</v>
      </c>
      <c r="Q10" s="76"/>
      <c r="R10" s="44" t="str">
        <f t="shared" si="3"/>
        <v>ASkillVoiceRun_3003</v>
      </c>
      <c r="S10" s="44" t="str">
        <f t="shared" si="7"/>
        <v>SkillVoiceHurt_3003</v>
      </c>
      <c r="T10" s="65" t="s">
        <v>191</v>
      </c>
      <c r="U10" s="63">
        <v>0</v>
      </c>
      <c r="V10" s="63">
        <v>6</v>
      </c>
      <c r="W10" s="63">
        <v>10</v>
      </c>
      <c r="X10" s="73">
        <v>0</v>
      </c>
      <c r="Y10" s="63">
        <v>0</v>
      </c>
      <c r="Z10" s="74">
        <v>0</v>
      </c>
      <c r="AA10" s="66" t="s">
        <v>93</v>
      </c>
      <c r="AB10" s="75">
        <f t="shared" si="5"/>
        <v>0</v>
      </c>
      <c r="AC10" s="63">
        <f>1+E10*W10/F10/AD10</f>
        <v>2</v>
      </c>
      <c r="AD10" s="67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60"/>
      <c r="AC12" s="60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60"/>
      <c r="AC13" s="60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60"/>
      <c r="AC14" s="60"/>
    </row>
    <row r="15" spans="1:30" s="10" customFormat="1">
      <c r="B15" s="16" t="s">
        <v>159</v>
      </c>
      <c r="L15" s="50"/>
      <c r="M15" s="51"/>
      <c r="N15" s="50"/>
      <c r="O15" s="51"/>
      <c r="P15" s="50"/>
      <c r="Q15" s="51"/>
      <c r="R15" s="50"/>
      <c r="S15" s="50"/>
      <c r="T15" s="60"/>
      <c r="AC15" s="60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60"/>
      <c r="AC16" s="60"/>
    </row>
    <row r="17" spans="2:29" s="10" customFormat="1">
      <c r="B17" s="16" t="s">
        <v>186</v>
      </c>
      <c r="L17" s="50"/>
      <c r="M17" s="51"/>
      <c r="N17" s="50"/>
      <c r="O17" s="51"/>
      <c r="P17" s="50"/>
      <c r="Q17" s="51"/>
      <c r="R17" s="50"/>
      <c r="S17" s="50"/>
      <c r="T17" s="60"/>
      <c r="AC17" s="60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60"/>
      <c r="AC18" s="60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60"/>
      <c r="AC19" s="60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60"/>
      <c r="AC20" s="60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60"/>
      <c r="AC21" s="60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60"/>
      <c r="AC22" s="60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60"/>
      <c r="AC23" s="60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60"/>
      <c r="AC24" s="60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A5" sqref="A5:XFD5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86" t="s">
        <v>150</v>
      </c>
      <c r="E1" s="86"/>
      <c r="F1" s="86"/>
      <c r="G1" s="86"/>
      <c r="H1" s="86"/>
      <c r="I1" s="86"/>
      <c r="J1" s="21" t="s">
        <v>39</v>
      </c>
      <c r="K1" s="21" t="s">
        <v>40</v>
      </c>
      <c r="L1" s="21" t="s">
        <v>42</v>
      </c>
      <c r="M1" s="36" t="s">
        <v>19</v>
      </c>
    </row>
    <row r="2" spans="1:13">
      <c r="A2">
        <v>1</v>
      </c>
      <c r="B2" t="s">
        <v>105</v>
      </c>
      <c r="C2" t="s">
        <v>142</v>
      </c>
      <c r="D2" s="33" t="s">
        <v>219</v>
      </c>
      <c r="E2" s="33"/>
      <c r="F2" s="33"/>
      <c r="G2" s="33"/>
      <c r="H2" s="33"/>
      <c r="I2" s="33"/>
      <c r="J2" t="s">
        <v>144</v>
      </c>
    </row>
    <row r="3" spans="1:13">
      <c r="A3">
        <v>2</v>
      </c>
      <c r="B3" t="s">
        <v>106</v>
      </c>
      <c r="C3" t="s">
        <v>142</v>
      </c>
      <c r="D3" s="33" t="s">
        <v>139</v>
      </c>
      <c r="E3" s="33"/>
      <c r="F3" s="33"/>
      <c r="G3" s="33"/>
      <c r="H3" s="33"/>
      <c r="I3" s="33"/>
      <c r="J3" t="s">
        <v>144</v>
      </c>
      <c r="K3" t="s">
        <v>117</v>
      </c>
    </row>
    <row r="4" spans="1:13">
      <c r="A4">
        <v>3</v>
      </c>
      <c r="B4" t="s">
        <v>125</v>
      </c>
      <c r="C4" t="s">
        <v>142</v>
      </c>
      <c r="D4" s="33" t="s">
        <v>220</v>
      </c>
      <c r="E4" s="33"/>
      <c r="F4" s="33"/>
      <c r="G4" s="33"/>
      <c r="H4" s="33"/>
      <c r="I4" s="33"/>
      <c r="J4" t="s">
        <v>144</v>
      </c>
      <c r="M4" t="s">
        <v>146</v>
      </c>
    </row>
    <row r="5" spans="1:13">
      <c r="A5">
        <v>4</v>
      </c>
      <c r="B5" t="s">
        <v>140</v>
      </c>
      <c r="C5" t="s">
        <v>141</v>
      </c>
      <c r="D5" s="33" t="s">
        <v>145</v>
      </c>
      <c r="E5" s="33"/>
      <c r="F5" s="33"/>
      <c r="G5" s="33"/>
      <c r="H5" s="33"/>
      <c r="I5" s="33"/>
      <c r="J5" t="s">
        <v>144</v>
      </c>
      <c r="K5" s="55" t="s">
        <v>221</v>
      </c>
      <c r="L5" s="56" t="s">
        <v>149</v>
      </c>
      <c r="M5" t="s">
        <v>223</v>
      </c>
    </row>
    <row r="6" spans="1:13">
      <c r="A6">
        <v>5</v>
      </c>
      <c r="B6" t="s">
        <v>137</v>
      </c>
      <c r="C6" t="s">
        <v>226</v>
      </c>
      <c r="D6" s="54" t="s">
        <v>218</v>
      </c>
      <c r="E6" s="33"/>
      <c r="F6" s="33"/>
      <c r="G6" s="33"/>
      <c r="H6" s="33"/>
      <c r="I6" s="33"/>
      <c r="J6" t="s">
        <v>144</v>
      </c>
      <c r="K6" t="s">
        <v>138</v>
      </c>
      <c r="L6" t="s">
        <v>198</v>
      </c>
      <c r="M6" s="57" t="s">
        <v>204</v>
      </c>
    </row>
    <row r="7" spans="1:13">
      <c r="A7">
        <v>6</v>
      </c>
      <c r="B7" t="s">
        <v>136</v>
      </c>
      <c r="C7" t="s">
        <v>225</v>
      </c>
      <c r="D7" s="54" t="s">
        <v>217</v>
      </c>
      <c r="E7" s="33"/>
      <c r="F7" s="33"/>
      <c r="G7" s="33"/>
      <c r="H7" s="33"/>
      <c r="I7" s="33"/>
      <c r="J7" t="s">
        <v>144</v>
      </c>
      <c r="K7" t="s">
        <v>222</v>
      </c>
      <c r="L7" t="s">
        <v>148</v>
      </c>
      <c r="M7" t="s">
        <v>147</v>
      </c>
    </row>
    <row r="8" spans="1:13">
      <c r="A8">
        <v>7</v>
      </c>
      <c r="B8" s="55" t="s">
        <v>224</v>
      </c>
      <c r="C8" t="s">
        <v>225</v>
      </c>
      <c r="D8" s="58" t="s">
        <v>229</v>
      </c>
      <c r="J8" t="s">
        <v>144</v>
      </c>
      <c r="K8" t="s">
        <v>221</v>
      </c>
      <c r="L8" t="s">
        <v>227</v>
      </c>
      <c r="M8" t="s">
        <v>228</v>
      </c>
    </row>
    <row r="9" spans="1:13">
      <c r="A9">
        <v>8</v>
      </c>
      <c r="B9" t="s">
        <v>245</v>
      </c>
      <c r="C9" t="s">
        <v>246</v>
      </c>
      <c r="D9" s="58" t="s">
        <v>247</v>
      </c>
      <c r="J9" t="s">
        <v>144</v>
      </c>
      <c r="K9" t="s">
        <v>248</v>
      </c>
    </row>
    <row r="11" spans="1:13">
      <c r="B11" s="37" t="s">
        <v>151</v>
      </c>
    </row>
    <row r="12" spans="1:13">
      <c r="B12" s="37"/>
    </row>
    <row r="13" spans="1:13">
      <c r="B13" s="37"/>
      <c r="C13" t="s">
        <v>152</v>
      </c>
    </row>
    <row r="14" spans="1:13">
      <c r="B14" s="37"/>
    </row>
    <row r="15" spans="1:13" s="10" customFormat="1">
      <c r="B15" s="16" t="s">
        <v>143</v>
      </c>
    </row>
    <row r="17" spans="2:10">
      <c r="C17" t="s">
        <v>153</v>
      </c>
    </row>
    <row r="19" spans="2:10">
      <c r="B19" s="31" t="s">
        <v>199</v>
      </c>
    </row>
    <row r="21" spans="2:10">
      <c r="C21" t="s">
        <v>200</v>
      </c>
    </row>
    <row r="23" spans="2:10">
      <c r="C23" t="s">
        <v>201</v>
      </c>
    </row>
    <row r="25" spans="2:10">
      <c r="C25" t="s">
        <v>206</v>
      </c>
    </row>
    <row r="27" spans="2:10">
      <c r="C27" s="31" t="s">
        <v>202</v>
      </c>
      <c r="J27" s="31" t="s">
        <v>203</v>
      </c>
    </row>
    <row r="28" spans="2:10">
      <c r="C28" s="37" t="s">
        <v>215</v>
      </c>
      <c r="J28" s="37" t="s">
        <v>216</v>
      </c>
    </row>
    <row r="30" spans="2:10">
      <c r="C30" t="s">
        <v>205</v>
      </c>
      <c r="J30" t="s">
        <v>209</v>
      </c>
    </row>
    <row r="32" spans="2:10">
      <c r="C32" t="s">
        <v>208</v>
      </c>
      <c r="J32" t="s">
        <v>210</v>
      </c>
    </row>
    <row r="34" spans="3:10">
      <c r="C34" t="s">
        <v>207</v>
      </c>
      <c r="J34" t="s">
        <v>211</v>
      </c>
    </row>
    <row r="36" spans="3:10">
      <c r="C36" t="s">
        <v>212</v>
      </c>
      <c r="J36" t="s">
        <v>212</v>
      </c>
    </row>
    <row r="38" spans="3:10">
      <c r="C38" s="31" t="s">
        <v>213</v>
      </c>
      <c r="J38" s="31" t="s">
        <v>214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33</v>
      </c>
      <c r="I2">
        <f>兵种!I2</f>
        <v>1059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50</v>
      </c>
      <c r="I3">
        <f>兵种!I3</f>
        <v>871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28</v>
      </c>
      <c r="I4">
        <f>兵种!I4</f>
        <v>641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</v>
      </c>
      <c r="I5">
        <f>兵种!I5</f>
        <v>301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39</v>
      </c>
      <c r="I6">
        <f>兵种!I6</f>
        <v>97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85</v>
      </c>
      <c r="I7">
        <f>兵种!I7</f>
        <v>229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75</v>
      </c>
      <c r="I8">
        <f>兵种!I8</f>
        <v>569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18</v>
      </c>
      <c r="I9">
        <f>兵种!I9</f>
        <v>183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10</v>
      </c>
      <c r="I10">
        <f>兵种!I10</f>
        <v>80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1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攻击力*600% 的伤害,冷却时间10秒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攻击力*200%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2.5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0,6,4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1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扔出一个大手里剑,对碰到的所有敌人造成250%的伤害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20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5,2,2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使周围的友军移动速度提升至200%,攻击速度提升至200%,持续5秒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全局</vt:lpstr>
      <vt:lpstr>兵种</vt:lpstr>
      <vt:lpstr>攻击</vt:lpstr>
      <vt:lpstr>技能</vt:lpstr>
      <vt:lpstr>弹道</vt:lpstr>
      <vt:lpstr>特效</vt:lpstr>
      <vt:lpstr>Soldiers_config</vt:lpstr>
      <vt:lpstr>Attack_config</vt:lpstr>
      <vt:lpstr>Ability_config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2015-12-24T10:21:38Z</dcterms:modified>
</cp:coreProperties>
</file>