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0"/>
  </bookViews>
  <sheets>
    <sheet name="全局" sheetId="2" r:id="rId1"/>
    <sheet name="兵种" sheetId="3" r:id="rId2"/>
    <sheet name="攻击" sheetId="12" r:id="rId3"/>
    <sheet name="技能" sheetId="4" r:id="rId4"/>
    <sheet name="出怪" sheetId="14" r:id="rId5"/>
    <sheet name="弹道" sheetId="11" r:id="rId6"/>
    <sheet name="特效" sheetId="5" r:id="rId7"/>
    <sheet name="Soldiers_config" sheetId="7" r:id="rId8"/>
    <sheet name="Attack_config" sheetId="13" r:id="rId9"/>
    <sheet name="Ability_config" sheetId="8" r:id="rId10"/>
    <sheet name="Enemy_config" sheetId="15" r:id="rId11"/>
    <sheet name="Strengthen_config" sheetId="6" r:id="rId12"/>
  </sheets>
  <calcPr calcId="152511"/>
</workbook>
</file>

<file path=xl/calcChain.xml><?xml version="1.0" encoding="utf-8"?>
<calcChain xmlns="http://schemas.openxmlformats.org/spreadsheetml/2006/main">
  <c r="B3" i="14" l="1"/>
  <c r="B4" i="14"/>
  <c r="B5" i="14"/>
  <c r="B6" i="14"/>
  <c r="B6" i="15" s="1"/>
  <c r="B7" i="14"/>
  <c r="B8" i="14"/>
  <c r="B9" i="14"/>
  <c r="B10" i="14"/>
  <c r="B10" i="15" s="1"/>
  <c r="B11" i="14"/>
  <c r="B12" i="14"/>
  <c r="B13" i="14"/>
  <c r="B14" i="14"/>
  <c r="B14" i="15" s="1"/>
  <c r="B15" i="14"/>
  <c r="B16" i="14"/>
  <c r="B17" i="14"/>
  <c r="B18" i="14"/>
  <c r="B18" i="15" s="1"/>
  <c r="B19" i="14"/>
  <c r="B20" i="14"/>
  <c r="B21" i="14"/>
  <c r="B22" i="14"/>
  <c r="B22" i="15" s="1"/>
  <c r="B23" i="14"/>
  <c r="B24" i="14"/>
  <c r="B25" i="14"/>
  <c r="B26" i="14"/>
  <c r="B26" i="15" s="1"/>
  <c r="B27" i="14"/>
  <c r="B28" i="14"/>
  <c r="B29" i="14"/>
  <c r="B30" i="14"/>
  <c r="B30" i="15" s="1"/>
  <c r="B31" i="14"/>
  <c r="B32" i="14"/>
  <c r="B33" i="14"/>
  <c r="B34" i="14"/>
  <c r="B34" i="15" s="1"/>
  <c r="B35" i="14"/>
  <c r="B36" i="14"/>
  <c r="B37" i="14"/>
  <c r="B38" i="14"/>
  <c r="B38" i="15" s="1"/>
  <c r="B39" i="14"/>
  <c r="B40" i="14"/>
  <c r="B41" i="14"/>
  <c r="B42" i="14"/>
  <c r="B42" i="15" s="1"/>
  <c r="B43" i="14"/>
  <c r="B44" i="14"/>
  <c r="B45" i="14"/>
  <c r="B46" i="14"/>
  <c r="B46" i="15" s="1"/>
  <c r="B47" i="14"/>
  <c r="B48" i="14"/>
  <c r="B49" i="14"/>
  <c r="B50" i="14"/>
  <c r="B50" i="15" s="1"/>
  <c r="B51" i="14"/>
  <c r="B2" i="14"/>
  <c r="B2" i="15" s="1"/>
  <c r="A2" i="15"/>
  <c r="C2" i="15"/>
  <c r="D2" i="15"/>
  <c r="A3" i="15"/>
  <c r="B3" i="15"/>
  <c r="C3" i="15"/>
  <c r="D3" i="15"/>
  <c r="A4" i="15"/>
  <c r="B4" i="15"/>
  <c r="C4" i="15"/>
  <c r="D4" i="15"/>
  <c r="A5" i="15"/>
  <c r="B5" i="15"/>
  <c r="C5" i="15"/>
  <c r="D5" i="15"/>
  <c r="A6" i="15"/>
  <c r="C6" i="15"/>
  <c r="D6" i="15"/>
  <c r="A7" i="15"/>
  <c r="B7" i="15"/>
  <c r="C7" i="15"/>
  <c r="D7" i="15"/>
  <c r="A8" i="15"/>
  <c r="B8" i="15"/>
  <c r="C8" i="15"/>
  <c r="D8" i="15"/>
  <c r="A9" i="15"/>
  <c r="B9" i="15"/>
  <c r="C9" i="15"/>
  <c r="D9" i="15"/>
  <c r="A10" i="15"/>
  <c r="C10" i="15"/>
  <c r="D10" i="15"/>
  <c r="A11" i="15"/>
  <c r="B11" i="15"/>
  <c r="C11" i="15"/>
  <c r="D11" i="15"/>
  <c r="A12" i="15"/>
  <c r="B12" i="15"/>
  <c r="C12" i="15"/>
  <c r="D12" i="15"/>
  <c r="A13" i="15"/>
  <c r="B13" i="15"/>
  <c r="C13" i="15"/>
  <c r="D13" i="15"/>
  <c r="A14" i="15"/>
  <c r="C14" i="15"/>
  <c r="D14" i="15"/>
  <c r="A15" i="15"/>
  <c r="B15" i="15"/>
  <c r="C15" i="15"/>
  <c r="D15" i="15"/>
  <c r="A16" i="15"/>
  <c r="B16" i="15"/>
  <c r="C16" i="15"/>
  <c r="D16" i="15"/>
  <c r="A17" i="15"/>
  <c r="B17" i="15"/>
  <c r="C17" i="15"/>
  <c r="D17" i="15"/>
  <c r="A18" i="15"/>
  <c r="C18" i="15"/>
  <c r="D18" i="15"/>
  <c r="A19" i="15"/>
  <c r="B19" i="15"/>
  <c r="C19" i="15"/>
  <c r="D19" i="15"/>
  <c r="A20" i="15"/>
  <c r="B20" i="15"/>
  <c r="C20" i="15"/>
  <c r="D20" i="15"/>
  <c r="A21" i="15"/>
  <c r="B21" i="15"/>
  <c r="C21" i="15"/>
  <c r="D21" i="15"/>
  <c r="A22" i="15"/>
  <c r="C22" i="15"/>
  <c r="D22" i="15"/>
  <c r="A23" i="15"/>
  <c r="B23" i="15"/>
  <c r="C23" i="15"/>
  <c r="D23" i="15"/>
  <c r="A24" i="15"/>
  <c r="B24" i="15"/>
  <c r="C24" i="15"/>
  <c r="D24" i="15"/>
  <c r="A25" i="15"/>
  <c r="B25" i="15"/>
  <c r="C25" i="15"/>
  <c r="D25" i="15"/>
  <c r="A26" i="15"/>
  <c r="C26" i="15"/>
  <c r="D26" i="15"/>
  <c r="A27" i="15"/>
  <c r="B27" i="15"/>
  <c r="C27" i="15"/>
  <c r="D27" i="15"/>
  <c r="A28" i="15"/>
  <c r="B28" i="15"/>
  <c r="C28" i="15"/>
  <c r="D28" i="15"/>
  <c r="A29" i="15"/>
  <c r="B29" i="15"/>
  <c r="C29" i="15"/>
  <c r="D29" i="15"/>
  <c r="A30" i="15"/>
  <c r="C30" i="15"/>
  <c r="D30" i="15"/>
  <c r="A31" i="15"/>
  <c r="B31" i="15"/>
  <c r="C31" i="15"/>
  <c r="D31" i="15"/>
  <c r="A32" i="15"/>
  <c r="B32" i="15"/>
  <c r="C32" i="15"/>
  <c r="D32" i="15"/>
  <c r="A33" i="15"/>
  <c r="B33" i="15"/>
  <c r="C33" i="15"/>
  <c r="D33" i="15"/>
  <c r="A34" i="15"/>
  <c r="C34" i="15"/>
  <c r="D34" i="15"/>
  <c r="A35" i="15"/>
  <c r="B35" i="15"/>
  <c r="C35" i="15"/>
  <c r="D35" i="15"/>
  <c r="A36" i="15"/>
  <c r="B36" i="15"/>
  <c r="C36" i="15"/>
  <c r="D36" i="15"/>
  <c r="A37" i="15"/>
  <c r="B37" i="15"/>
  <c r="C37" i="15"/>
  <c r="D37" i="15"/>
  <c r="A38" i="15"/>
  <c r="C38" i="15"/>
  <c r="D38" i="15"/>
  <c r="A39" i="15"/>
  <c r="B39" i="15"/>
  <c r="C39" i="15"/>
  <c r="D39" i="15"/>
  <c r="A40" i="15"/>
  <c r="B40" i="15"/>
  <c r="C40" i="15"/>
  <c r="D40" i="15"/>
  <c r="A41" i="15"/>
  <c r="B41" i="15"/>
  <c r="C41" i="15"/>
  <c r="D41" i="15"/>
  <c r="A42" i="15"/>
  <c r="C42" i="15"/>
  <c r="D42" i="15"/>
  <c r="A43" i="15"/>
  <c r="B43" i="15"/>
  <c r="C43" i="15"/>
  <c r="D43" i="15"/>
  <c r="A44" i="15"/>
  <c r="B44" i="15"/>
  <c r="C44" i="15"/>
  <c r="D44" i="15"/>
  <c r="A45" i="15"/>
  <c r="B45" i="15"/>
  <c r="C45" i="15"/>
  <c r="D45" i="15"/>
  <c r="A46" i="15"/>
  <c r="C46" i="15"/>
  <c r="D46" i="15"/>
  <c r="A47" i="15"/>
  <c r="B47" i="15"/>
  <c r="C47" i="15"/>
  <c r="D47" i="15"/>
  <c r="A48" i="15"/>
  <c r="B48" i="15"/>
  <c r="C48" i="15"/>
  <c r="D48" i="15"/>
  <c r="A49" i="15"/>
  <c r="B49" i="15"/>
  <c r="C49" i="15"/>
  <c r="D49" i="15"/>
  <c r="A50" i="15"/>
  <c r="C50" i="15"/>
  <c r="D50" i="15"/>
  <c r="A51" i="15"/>
  <c r="B51" i="15"/>
  <c r="C51" i="15"/>
  <c r="D51" i="15"/>
  <c r="B1" i="15"/>
  <c r="C1" i="15"/>
  <c r="D1" i="15"/>
  <c r="A1" i="15"/>
  <c r="E3" i="14"/>
  <c r="D3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9" i="14"/>
  <c r="D30" i="14"/>
  <c r="D31" i="14"/>
  <c r="D32" i="14"/>
  <c r="D33" i="14"/>
  <c r="D34" i="14"/>
  <c r="D35" i="14"/>
  <c r="D36" i="14"/>
  <c r="D37" i="14"/>
  <c r="D40" i="14"/>
  <c r="D42" i="14"/>
  <c r="D43" i="14"/>
  <c r="D44" i="14"/>
  <c r="D45" i="14"/>
  <c r="D46" i="14"/>
  <c r="D47" i="14"/>
  <c r="D48" i="14"/>
  <c r="D49" i="14"/>
  <c r="D50" i="14"/>
  <c r="D51" i="14"/>
  <c r="D2" i="14"/>
  <c r="C3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9" i="14"/>
  <c r="C30" i="14"/>
  <c r="C31" i="14"/>
  <c r="C32" i="14"/>
  <c r="C33" i="14"/>
  <c r="C34" i="14"/>
  <c r="C35" i="14"/>
  <c r="C36" i="14"/>
  <c r="C37" i="14"/>
  <c r="C40" i="14"/>
  <c r="C42" i="14"/>
  <c r="C43" i="14"/>
  <c r="C44" i="14"/>
  <c r="C45" i="14"/>
  <c r="C46" i="14"/>
  <c r="C47" i="14"/>
  <c r="C48" i="14"/>
  <c r="C49" i="14"/>
  <c r="C50" i="14"/>
  <c r="C51" i="14"/>
  <c r="C2" i="14"/>
  <c r="L3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C28" i="14" s="1"/>
  <c r="D28" i="14" s="1"/>
  <c r="L29" i="14"/>
  <c r="L30" i="14"/>
  <c r="L31" i="14"/>
  <c r="L32" i="14"/>
  <c r="L33" i="14"/>
  <c r="L34" i="14"/>
  <c r="L35" i="14"/>
  <c r="L36" i="14"/>
  <c r="L37" i="14"/>
  <c r="L40" i="14"/>
  <c r="L42" i="14"/>
  <c r="L43" i="14"/>
  <c r="L44" i="14"/>
  <c r="L45" i="14"/>
  <c r="L46" i="14"/>
  <c r="L47" i="14"/>
  <c r="L48" i="14"/>
  <c r="L49" i="14"/>
  <c r="L50" i="14"/>
  <c r="L51" i="14"/>
  <c r="L2" i="14"/>
  <c r="I3" i="14"/>
  <c r="I4" i="14"/>
  <c r="L4" i="14" s="1"/>
  <c r="C4" i="14" s="1"/>
  <c r="D4" i="14" s="1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L38" i="14" s="1"/>
  <c r="C38" i="14" s="1"/>
  <c r="D38" i="14" s="1"/>
  <c r="I39" i="14"/>
  <c r="L39" i="14" s="1"/>
  <c r="C39" i="14" s="1"/>
  <c r="D39" i="14" s="1"/>
  <c r="I40" i="14"/>
  <c r="I41" i="14"/>
  <c r="L41" i="14" s="1"/>
  <c r="C41" i="14" s="1"/>
  <c r="D41" i="14" s="1"/>
  <c r="I42" i="14"/>
  <c r="I43" i="14"/>
  <c r="I44" i="14"/>
  <c r="I45" i="14"/>
  <c r="I46" i="14"/>
  <c r="I47" i="14"/>
  <c r="I48" i="14"/>
  <c r="I49" i="14"/>
  <c r="I50" i="14"/>
  <c r="I51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2" i="14"/>
  <c r="I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2" i="14"/>
  <c r="E26" i="14" l="1"/>
  <c r="E14" i="14"/>
  <c r="E10" i="14"/>
  <c r="E42" i="14"/>
  <c r="E38" i="14"/>
  <c r="E22" i="14"/>
  <c r="E6" i="14"/>
  <c r="E50" i="14"/>
  <c r="E34" i="14"/>
  <c r="E18" i="14"/>
  <c r="E46" i="14"/>
  <c r="E30" i="14"/>
  <c r="E49" i="14"/>
  <c r="E45" i="14"/>
  <c r="E41" i="14"/>
  <c r="E37" i="14"/>
  <c r="E33" i="14"/>
  <c r="E29" i="14"/>
  <c r="E25" i="14"/>
  <c r="E21" i="14"/>
  <c r="E17" i="14"/>
  <c r="E13" i="14"/>
  <c r="E9" i="14"/>
  <c r="E5" i="14"/>
  <c r="E2" i="14"/>
  <c r="E48" i="14"/>
  <c r="E44" i="14"/>
  <c r="E40" i="14"/>
  <c r="E36" i="14"/>
  <c r="E32" i="14"/>
  <c r="E28" i="14"/>
  <c r="E24" i="14"/>
  <c r="E20" i="14"/>
  <c r="E16" i="14"/>
  <c r="E12" i="14"/>
  <c r="E8" i="14"/>
  <c r="E4" i="14"/>
  <c r="E51" i="14"/>
  <c r="E47" i="14"/>
  <c r="E43" i="14"/>
  <c r="E39" i="14"/>
  <c r="E35" i="14"/>
  <c r="E31" i="14"/>
  <c r="E27" i="14"/>
  <c r="E23" i="14"/>
  <c r="E19" i="14"/>
  <c r="E15" i="14"/>
  <c r="E11" i="14"/>
  <c r="E7" i="14"/>
  <c r="I3" i="3"/>
  <c r="I4" i="3"/>
  <c r="I5" i="3"/>
  <c r="I6" i="3"/>
  <c r="I7" i="3"/>
  <c r="I8" i="3"/>
  <c r="I9" i="3"/>
  <c r="I10" i="3"/>
  <c r="H3" i="3"/>
  <c r="H4" i="3"/>
  <c r="H5" i="3"/>
  <c r="H6" i="3"/>
  <c r="H7" i="3"/>
  <c r="H8" i="3"/>
  <c r="H9" i="3"/>
  <c r="H10" i="3"/>
  <c r="I2" i="3"/>
  <c r="H2" i="3"/>
  <c r="AC9" i="4"/>
  <c r="AC2" i="4"/>
  <c r="Z3" i="12"/>
  <c r="Z4" i="12"/>
  <c r="Z5" i="12"/>
  <c r="Z6" i="12"/>
  <c r="Z7" i="12"/>
  <c r="Z8" i="12"/>
  <c r="Z9" i="12"/>
  <c r="Z10" i="12"/>
  <c r="Z2" i="12"/>
  <c r="T8" i="4" l="1"/>
  <c r="J2" i="12" l="1"/>
  <c r="N3" i="12"/>
  <c r="N4" i="12"/>
  <c r="N5" i="12"/>
  <c r="N6" i="12"/>
  <c r="N7" i="12"/>
  <c r="N8" i="12"/>
  <c r="N9" i="12"/>
  <c r="N10" i="12"/>
  <c r="N2" i="12"/>
  <c r="Y3" i="12" l="1"/>
  <c r="Y4" i="12"/>
  <c r="Y5" i="12"/>
  <c r="Y6" i="12"/>
  <c r="Y7" i="12"/>
  <c r="Y8" i="12"/>
  <c r="Y9" i="12"/>
  <c r="Y10" i="12"/>
  <c r="Y2" i="12"/>
  <c r="AB3" i="4"/>
  <c r="AB4" i="4"/>
  <c r="AB5" i="4"/>
  <c r="AB6" i="4"/>
  <c r="AB7" i="4"/>
  <c r="AB8" i="4"/>
  <c r="AB9" i="4"/>
  <c r="AB10" i="4"/>
  <c r="AB2" i="4"/>
  <c r="G3" i="12"/>
  <c r="G4" i="12"/>
  <c r="G5" i="12"/>
  <c r="G6" i="12"/>
  <c r="G7" i="12"/>
  <c r="G8" i="12"/>
  <c r="G9" i="12"/>
  <c r="G10" i="12"/>
  <c r="G2" i="12"/>
  <c r="I3" i="4"/>
  <c r="I4" i="4"/>
  <c r="I5" i="4"/>
  <c r="I6" i="4"/>
  <c r="I7" i="4"/>
  <c r="I8" i="4"/>
  <c r="I9" i="4"/>
  <c r="I10" i="4"/>
  <c r="I2" i="4"/>
  <c r="T7" i="4"/>
  <c r="T5" i="4"/>
  <c r="T4" i="4"/>
  <c r="T6" i="4"/>
  <c r="A3" i="7" l="1"/>
  <c r="B3" i="7"/>
  <c r="C3" i="7"/>
  <c r="D3" i="7"/>
  <c r="G3" i="7"/>
  <c r="N3" i="7"/>
  <c r="O3" i="7"/>
  <c r="P3" i="7"/>
  <c r="A4" i="7"/>
  <c r="B4" i="7"/>
  <c r="C4" i="7"/>
  <c r="D4" i="7"/>
  <c r="G4" i="7"/>
  <c r="N4" i="7"/>
  <c r="O4" i="7"/>
  <c r="P4" i="7"/>
  <c r="A5" i="7"/>
  <c r="B5" i="7"/>
  <c r="C5" i="7"/>
  <c r="D5" i="7"/>
  <c r="G5" i="7"/>
  <c r="N5" i="7"/>
  <c r="O5" i="7"/>
  <c r="P5" i="7"/>
  <c r="A6" i="7"/>
  <c r="B6" i="7"/>
  <c r="C6" i="7"/>
  <c r="D6" i="7"/>
  <c r="G6" i="7"/>
  <c r="H6" i="7"/>
  <c r="I6" i="7"/>
  <c r="N6" i="7"/>
  <c r="O6" i="7"/>
  <c r="P6" i="7"/>
  <c r="A7" i="7"/>
  <c r="B7" i="7"/>
  <c r="C7" i="7"/>
  <c r="D7" i="7"/>
  <c r="G7" i="7"/>
  <c r="N7" i="7"/>
  <c r="O7" i="7"/>
  <c r="P7" i="7"/>
  <c r="A8" i="7"/>
  <c r="B8" i="7"/>
  <c r="C8" i="7"/>
  <c r="D8" i="7"/>
  <c r="G8" i="7"/>
  <c r="N8" i="7"/>
  <c r="O8" i="7"/>
  <c r="P8" i="7"/>
  <c r="A9" i="7"/>
  <c r="B9" i="7"/>
  <c r="C9" i="7"/>
  <c r="D9" i="7"/>
  <c r="G9" i="7"/>
  <c r="H9" i="7"/>
  <c r="I9" i="7"/>
  <c r="N9" i="7"/>
  <c r="O9" i="7"/>
  <c r="P9" i="7"/>
  <c r="A10" i="7"/>
  <c r="B10" i="7"/>
  <c r="C10" i="7"/>
  <c r="D10" i="7"/>
  <c r="G10" i="7"/>
  <c r="H10" i="7"/>
  <c r="I10" i="7"/>
  <c r="N10" i="7"/>
  <c r="O10" i="7"/>
  <c r="P10" i="7"/>
  <c r="B2" i="7"/>
  <c r="C2" i="7"/>
  <c r="D2" i="7"/>
  <c r="G2" i="7"/>
  <c r="N2" i="7"/>
  <c r="O2" i="7"/>
  <c r="P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K4" i="4"/>
  <c r="K5" i="4"/>
  <c r="K6" i="4"/>
  <c r="K7" i="4"/>
  <c r="K8" i="4"/>
  <c r="K8" i="8" s="1"/>
  <c r="K9" i="4"/>
  <c r="K9" i="8" s="1"/>
  <c r="K10" i="4"/>
  <c r="K7" i="8"/>
  <c r="L10" i="4"/>
  <c r="I3" i="8"/>
  <c r="J3" i="8"/>
  <c r="K3" i="8"/>
  <c r="L3" i="8"/>
  <c r="M3" i="8"/>
  <c r="N3" i="8"/>
  <c r="O3" i="8"/>
  <c r="P3" i="8"/>
  <c r="Q3" i="8"/>
  <c r="R3" i="8"/>
  <c r="S3" i="8"/>
  <c r="T3" i="8"/>
  <c r="I4" i="8"/>
  <c r="J4" i="8"/>
  <c r="K4" i="8"/>
  <c r="L4" i="8"/>
  <c r="M4" i="8"/>
  <c r="N4" i="8"/>
  <c r="O4" i="8"/>
  <c r="P4" i="8"/>
  <c r="Q4" i="8"/>
  <c r="R4" i="8"/>
  <c r="S4" i="8"/>
  <c r="T4" i="8"/>
  <c r="I5" i="8"/>
  <c r="J5" i="8"/>
  <c r="K5" i="8"/>
  <c r="L5" i="8"/>
  <c r="M5" i="8"/>
  <c r="N5" i="8"/>
  <c r="O5" i="8"/>
  <c r="P5" i="8"/>
  <c r="Q5" i="8"/>
  <c r="R5" i="8"/>
  <c r="S5" i="8"/>
  <c r="T5" i="8"/>
  <c r="I6" i="8"/>
  <c r="J6" i="8"/>
  <c r="K6" i="8"/>
  <c r="L6" i="8"/>
  <c r="M6" i="8"/>
  <c r="N6" i="8"/>
  <c r="O6" i="8"/>
  <c r="P6" i="8"/>
  <c r="Q6" i="8"/>
  <c r="R6" i="8"/>
  <c r="S6" i="8"/>
  <c r="T6" i="8"/>
  <c r="I7" i="8"/>
  <c r="J7" i="8"/>
  <c r="L7" i="8"/>
  <c r="M7" i="8"/>
  <c r="N7" i="8"/>
  <c r="P7" i="8"/>
  <c r="Q7" i="8"/>
  <c r="R7" i="8"/>
  <c r="S7" i="8"/>
  <c r="T7" i="8"/>
  <c r="I8" i="8"/>
  <c r="J8" i="8"/>
  <c r="L8" i="8"/>
  <c r="M8" i="8"/>
  <c r="N8" i="8"/>
  <c r="O8" i="8"/>
  <c r="P8" i="8"/>
  <c r="Q8" i="8"/>
  <c r="R8" i="8"/>
  <c r="S8" i="8"/>
  <c r="I9" i="8"/>
  <c r="J9" i="8"/>
  <c r="L9" i="8"/>
  <c r="M9" i="8"/>
  <c r="N9" i="8"/>
  <c r="O9" i="8"/>
  <c r="P9" i="8"/>
  <c r="Q9" i="8"/>
  <c r="R9" i="8"/>
  <c r="S9" i="8"/>
  <c r="I10" i="8"/>
  <c r="J10" i="8"/>
  <c r="K10" i="8"/>
  <c r="L10" i="8"/>
  <c r="M10" i="8"/>
  <c r="N10" i="8"/>
  <c r="O10" i="8"/>
  <c r="P10" i="8"/>
  <c r="Q10" i="8"/>
  <c r="R10" i="8"/>
  <c r="S10" i="8"/>
  <c r="T10" i="8"/>
  <c r="J2" i="8"/>
  <c r="L2" i="8"/>
  <c r="M2" i="8"/>
  <c r="N2" i="8"/>
  <c r="O2" i="8"/>
  <c r="P2" i="8"/>
  <c r="Q2" i="8"/>
  <c r="R2" i="8"/>
  <c r="S2" i="8"/>
  <c r="K1" i="8"/>
  <c r="L1" i="8"/>
  <c r="M1" i="8"/>
  <c r="N1" i="8"/>
  <c r="O1" i="8"/>
  <c r="P1" i="8"/>
  <c r="Q1" i="8"/>
  <c r="R1" i="8"/>
  <c r="S1" i="8"/>
  <c r="T1" i="8"/>
  <c r="I3" i="13"/>
  <c r="J3" i="13"/>
  <c r="K3" i="13"/>
  <c r="M3" i="13"/>
  <c r="N3" i="13"/>
  <c r="O3" i="13"/>
  <c r="Q3" i="13"/>
  <c r="I4" i="13"/>
  <c r="K4" i="13"/>
  <c r="M4" i="13"/>
  <c r="N4" i="13"/>
  <c r="O4" i="13"/>
  <c r="Q4" i="13"/>
  <c r="I5" i="13"/>
  <c r="K5" i="13"/>
  <c r="M5" i="13"/>
  <c r="N5" i="13"/>
  <c r="O5" i="13"/>
  <c r="I6" i="13"/>
  <c r="K6" i="13"/>
  <c r="L6" i="13"/>
  <c r="M6" i="13"/>
  <c r="N6" i="13"/>
  <c r="O6" i="13"/>
  <c r="I7" i="13"/>
  <c r="J7" i="13"/>
  <c r="K7" i="13"/>
  <c r="M7" i="13"/>
  <c r="N7" i="13"/>
  <c r="O7" i="13"/>
  <c r="I8" i="13"/>
  <c r="K8" i="13"/>
  <c r="M8" i="13"/>
  <c r="N8" i="13"/>
  <c r="O8" i="13"/>
  <c r="I9" i="13"/>
  <c r="K9" i="13"/>
  <c r="M9" i="13"/>
  <c r="N9" i="13"/>
  <c r="O9" i="13"/>
  <c r="I10" i="13"/>
  <c r="K10" i="13"/>
  <c r="L10" i="13"/>
  <c r="M10" i="13"/>
  <c r="N10" i="13"/>
  <c r="O10" i="13"/>
  <c r="K2" i="13"/>
  <c r="L2" i="13"/>
  <c r="M2" i="13"/>
  <c r="N2" i="13"/>
  <c r="O2" i="13"/>
  <c r="Q2" i="13"/>
  <c r="J1" i="13"/>
  <c r="K1" i="13"/>
  <c r="L1" i="13"/>
  <c r="M1" i="13"/>
  <c r="N1" i="13"/>
  <c r="O1" i="13"/>
  <c r="P1" i="13"/>
  <c r="Q1" i="13"/>
  <c r="J3" i="12"/>
  <c r="L3" i="12"/>
  <c r="L3" i="13" s="1"/>
  <c r="J4" i="12"/>
  <c r="J4" i="13" s="1"/>
  <c r="L4" i="12"/>
  <c r="L4" i="13" s="1"/>
  <c r="J5" i="12"/>
  <c r="J5" i="13" s="1"/>
  <c r="L5" i="12"/>
  <c r="L5" i="13" s="1"/>
  <c r="J6" i="12"/>
  <c r="J6" i="13" s="1"/>
  <c r="L6" i="12"/>
  <c r="J7" i="12"/>
  <c r="L7" i="12"/>
  <c r="L7" i="13" s="1"/>
  <c r="J8" i="12"/>
  <c r="J8" i="13" s="1"/>
  <c r="L8" i="12"/>
  <c r="L8" i="13" s="1"/>
  <c r="J9" i="12"/>
  <c r="J9" i="13" s="1"/>
  <c r="L9" i="12"/>
  <c r="L9" i="13" s="1"/>
  <c r="J10" i="12"/>
  <c r="J10" i="13" s="1"/>
  <c r="L10" i="12"/>
  <c r="L2" i="12"/>
  <c r="J2" i="13"/>
  <c r="Q5" i="12" l="1"/>
  <c r="Q5" i="13" s="1"/>
  <c r="Q6" i="12"/>
  <c r="Q6" i="13" s="1"/>
  <c r="Q7" i="12"/>
  <c r="Q7" i="13" s="1"/>
  <c r="Q8" i="12"/>
  <c r="Q8" i="13" s="1"/>
  <c r="Q9" i="12"/>
  <c r="Q9" i="13" s="1"/>
  <c r="Q10" i="12"/>
  <c r="Q10" i="13" s="1"/>
  <c r="P3" i="12"/>
  <c r="P3" i="13" s="1"/>
  <c r="P4" i="12"/>
  <c r="P4" i="13" s="1"/>
  <c r="P5" i="12"/>
  <c r="P5" i="13" s="1"/>
  <c r="P6" i="12"/>
  <c r="P6" i="13" s="1"/>
  <c r="P7" i="12"/>
  <c r="P7" i="13" s="1"/>
  <c r="P8" i="12"/>
  <c r="P8" i="13" s="1"/>
  <c r="P9" i="12"/>
  <c r="P9" i="13" s="1"/>
  <c r="P10" i="12"/>
  <c r="P10" i="13" s="1"/>
  <c r="P2" i="12"/>
  <c r="P2" i="13" s="1"/>
  <c r="S7" i="4"/>
  <c r="S10" i="4"/>
  <c r="R3" i="4"/>
  <c r="R4" i="4"/>
  <c r="R5" i="4"/>
  <c r="R6" i="4"/>
  <c r="R7" i="4"/>
  <c r="R8" i="4"/>
  <c r="R9" i="4"/>
  <c r="R10" i="4"/>
  <c r="R2" i="4"/>
  <c r="A3" i="8"/>
  <c r="B3" i="8"/>
  <c r="C3" i="8"/>
  <c r="D3" i="8"/>
  <c r="E3" i="8"/>
  <c r="F3" i="8"/>
  <c r="G3" i="8"/>
  <c r="H3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A10" i="8"/>
  <c r="B10" i="8"/>
  <c r="C10" i="8"/>
  <c r="D10" i="8"/>
  <c r="E10" i="8"/>
  <c r="F10" i="8"/>
  <c r="G10" i="8"/>
  <c r="H10" i="8"/>
  <c r="B2" i="8"/>
  <c r="C2" i="8"/>
  <c r="D2" i="8"/>
  <c r="E2" i="8"/>
  <c r="F2" i="8"/>
  <c r="G2" i="8"/>
  <c r="H2" i="8"/>
  <c r="I2" i="8"/>
  <c r="A2" i="8"/>
  <c r="B1" i="8"/>
  <c r="C1" i="8"/>
  <c r="D1" i="8"/>
  <c r="E1" i="8"/>
  <c r="F1" i="8"/>
  <c r="G1" i="8"/>
  <c r="H1" i="8"/>
  <c r="I1" i="8"/>
  <c r="J1" i="8"/>
  <c r="A2" i="7"/>
  <c r="F3" i="3"/>
  <c r="F4" i="3"/>
  <c r="F5" i="3"/>
  <c r="F6" i="3"/>
  <c r="F7" i="3"/>
  <c r="F8" i="3"/>
  <c r="F9" i="3"/>
  <c r="F10" i="3"/>
  <c r="F2" i="3"/>
  <c r="L3" i="4"/>
  <c r="N3" i="4"/>
  <c r="P3" i="4"/>
  <c r="L4" i="4"/>
  <c r="N4" i="4"/>
  <c r="P4" i="4"/>
  <c r="L5" i="4"/>
  <c r="N5" i="4"/>
  <c r="P5" i="4"/>
  <c r="L6" i="4"/>
  <c r="N6" i="4"/>
  <c r="P6" i="4"/>
  <c r="L7" i="4"/>
  <c r="N7" i="4"/>
  <c r="P7" i="4"/>
  <c r="L8" i="4"/>
  <c r="N8" i="4"/>
  <c r="P8" i="4"/>
  <c r="L9" i="4"/>
  <c r="N9" i="4"/>
  <c r="P9" i="4"/>
  <c r="N10" i="4"/>
  <c r="P10" i="4"/>
  <c r="A3" i="13"/>
  <c r="C3" i="13"/>
  <c r="D3" i="13"/>
  <c r="E3" i="13"/>
  <c r="F3" i="13"/>
  <c r="G3" i="13"/>
  <c r="H3" i="13"/>
  <c r="A4" i="13"/>
  <c r="C4" i="13"/>
  <c r="D4" i="13"/>
  <c r="E4" i="13"/>
  <c r="F4" i="13"/>
  <c r="G4" i="13"/>
  <c r="H4" i="13"/>
  <c r="A5" i="13"/>
  <c r="C5" i="13"/>
  <c r="D5" i="13"/>
  <c r="E5" i="13"/>
  <c r="F5" i="13"/>
  <c r="G5" i="13"/>
  <c r="H5" i="13"/>
  <c r="A6" i="13"/>
  <c r="C6" i="13"/>
  <c r="D6" i="13"/>
  <c r="E6" i="13"/>
  <c r="F6" i="13"/>
  <c r="G6" i="13"/>
  <c r="H6" i="13"/>
  <c r="A7" i="13"/>
  <c r="C7" i="13"/>
  <c r="D7" i="13"/>
  <c r="E7" i="13"/>
  <c r="F7" i="13"/>
  <c r="G7" i="13"/>
  <c r="H7" i="13"/>
  <c r="A8" i="13"/>
  <c r="C8" i="13"/>
  <c r="D8" i="13"/>
  <c r="E8" i="13"/>
  <c r="F8" i="13"/>
  <c r="G8" i="13"/>
  <c r="H8" i="13"/>
  <c r="A9" i="13"/>
  <c r="C9" i="13"/>
  <c r="D9" i="13"/>
  <c r="E9" i="13"/>
  <c r="F9" i="13"/>
  <c r="G9" i="13"/>
  <c r="H9" i="13"/>
  <c r="A10" i="13"/>
  <c r="C10" i="13"/>
  <c r="D10" i="13"/>
  <c r="E10" i="13"/>
  <c r="F10" i="13"/>
  <c r="G10" i="13"/>
  <c r="H10" i="13"/>
  <c r="B2" i="13"/>
  <c r="C2" i="13"/>
  <c r="D2" i="13"/>
  <c r="E2" i="13"/>
  <c r="F2" i="13"/>
  <c r="G2" i="13"/>
  <c r="H2" i="13"/>
  <c r="I2" i="13"/>
  <c r="A2" i="13"/>
  <c r="B1" i="13"/>
  <c r="C1" i="13"/>
  <c r="D1" i="13"/>
  <c r="E1" i="13"/>
  <c r="F1" i="13"/>
  <c r="G1" i="13"/>
  <c r="H1" i="13"/>
  <c r="I1" i="13"/>
  <c r="A1" i="13"/>
  <c r="B3" i="12"/>
  <c r="B3" i="13" s="1"/>
  <c r="B4" i="12"/>
  <c r="B4" i="13" s="1"/>
  <c r="B5" i="12"/>
  <c r="B5" i="13" s="1"/>
  <c r="B6" i="12"/>
  <c r="B6" i="13" s="1"/>
  <c r="B7" i="12"/>
  <c r="B7" i="13" s="1"/>
  <c r="B8" i="12"/>
  <c r="B8" i="13" s="1"/>
  <c r="B9" i="12"/>
  <c r="B9" i="13" s="1"/>
  <c r="B10" i="12"/>
  <c r="B10" i="13" s="1"/>
  <c r="B2" i="12"/>
  <c r="P2" i="4"/>
  <c r="N2" i="4"/>
  <c r="L2" i="4"/>
  <c r="F5" i="7" l="1"/>
  <c r="F8" i="7"/>
  <c r="R2" i="3"/>
  <c r="F2" i="7"/>
  <c r="F7" i="7"/>
  <c r="R3" i="3"/>
  <c r="F3" i="7"/>
  <c r="F9" i="7"/>
  <c r="F4" i="7"/>
  <c r="F10" i="7"/>
  <c r="F6" i="7"/>
  <c r="J10" i="3"/>
  <c r="J10" i="7" s="1"/>
  <c r="K10" i="3"/>
  <c r="E3" i="3"/>
  <c r="E4" i="3"/>
  <c r="E5" i="3"/>
  <c r="E6" i="3"/>
  <c r="E7" i="3"/>
  <c r="E8" i="3"/>
  <c r="E9" i="3"/>
  <c r="E10" i="3"/>
  <c r="E2" i="3"/>
  <c r="J3" i="3"/>
  <c r="J3" i="7" s="1"/>
  <c r="K3" i="3"/>
  <c r="J4" i="3"/>
  <c r="J4" i="7" s="1"/>
  <c r="K4" i="3"/>
  <c r="J5" i="3"/>
  <c r="J5" i="7" s="1"/>
  <c r="K5" i="3"/>
  <c r="J6" i="3"/>
  <c r="J6" i="7" s="1"/>
  <c r="K6" i="3"/>
  <c r="J7" i="3"/>
  <c r="J7" i="7" s="1"/>
  <c r="K7" i="3"/>
  <c r="J8" i="3"/>
  <c r="J8" i="7" s="1"/>
  <c r="K8" i="3"/>
  <c r="J9" i="3"/>
  <c r="J9" i="7" s="1"/>
  <c r="K9" i="3"/>
  <c r="M10" i="3"/>
  <c r="M10" i="7" s="1"/>
  <c r="M3" i="3"/>
  <c r="M3" i="7" s="1"/>
  <c r="M4" i="3"/>
  <c r="M4" i="7" s="1"/>
  <c r="M5" i="3"/>
  <c r="M5" i="7" s="1"/>
  <c r="M6" i="3"/>
  <c r="M6" i="7" s="1"/>
  <c r="M7" i="3"/>
  <c r="M7" i="7" s="1"/>
  <c r="M8" i="3"/>
  <c r="M8" i="7" s="1"/>
  <c r="M9" i="3"/>
  <c r="M9" i="7" s="1"/>
  <c r="M2" i="3"/>
  <c r="M2" i="7" s="1"/>
  <c r="K8" i="7" l="1"/>
  <c r="AD8" i="4"/>
  <c r="AC8" i="4" s="1"/>
  <c r="R8" i="3" s="1"/>
  <c r="K6" i="7"/>
  <c r="AD6" i="4"/>
  <c r="AC6" i="4" s="1"/>
  <c r="R6" i="3" s="1"/>
  <c r="K4" i="7"/>
  <c r="AD4" i="4"/>
  <c r="AC4" i="4" s="1"/>
  <c r="R4" i="3" s="1"/>
  <c r="K10" i="7"/>
  <c r="AD10" i="4"/>
  <c r="AC10" i="4" s="1"/>
  <c r="R10" i="3" s="1"/>
  <c r="K9" i="7"/>
  <c r="AD9" i="4"/>
  <c r="K7" i="7"/>
  <c r="AD7" i="4"/>
  <c r="AC7" i="4" s="1"/>
  <c r="R7" i="3" s="1"/>
  <c r="K5" i="7"/>
  <c r="AD5" i="4"/>
  <c r="AC5" i="4" s="1"/>
  <c r="R5" i="3" s="1"/>
  <c r="K3" i="7"/>
  <c r="AD3" i="4"/>
  <c r="Q10" i="3"/>
  <c r="L10" i="3"/>
  <c r="L10" i="7" s="1"/>
  <c r="E10" i="7"/>
  <c r="Q6" i="3"/>
  <c r="W6" i="3" s="1"/>
  <c r="L6" i="3"/>
  <c r="L6" i="7" s="1"/>
  <c r="E6" i="7"/>
  <c r="Q8" i="3"/>
  <c r="W8" i="3" s="1"/>
  <c r="L8" i="3"/>
  <c r="L8" i="7" s="1"/>
  <c r="E8" i="7"/>
  <c r="Q4" i="3"/>
  <c r="W4" i="3" s="1"/>
  <c r="L4" i="3"/>
  <c r="L4" i="7" s="1"/>
  <c r="E4" i="7"/>
  <c r="Q9" i="3"/>
  <c r="E9" i="7"/>
  <c r="L9" i="3"/>
  <c r="L9" i="7" s="1"/>
  <c r="Q5" i="3"/>
  <c r="W5" i="3" s="1"/>
  <c r="L5" i="3"/>
  <c r="L5" i="7" s="1"/>
  <c r="E5" i="7"/>
  <c r="Q2" i="3"/>
  <c r="L2" i="3"/>
  <c r="L2" i="7" s="1"/>
  <c r="E2" i="7"/>
  <c r="Q7" i="3"/>
  <c r="L7" i="3"/>
  <c r="L7" i="7" s="1"/>
  <c r="E7" i="7"/>
  <c r="Q3" i="3"/>
  <c r="W3" i="3" s="1"/>
  <c r="L3" i="3"/>
  <c r="L3" i="7" s="1"/>
  <c r="E3" i="7"/>
  <c r="R9" i="3"/>
  <c r="AC3" i="4"/>
  <c r="T2" i="4"/>
  <c r="T2" i="8" s="1"/>
  <c r="W7" i="3" l="1"/>
  <c r="W10" i="3"/>
  <c r="W9" i="3"/>
  <c r="A1" i="8"/>
  <c r="K3" i="4" l="1"/>
  <c r="K2" i="4"/>
  <c r="K2" i="8" s="1"/>
  <c r="A1" i="7"/>
  <c r="B28" i="3" l="1"/>
  <c r="B24" i="4"/>
  <c r="T8" i="8"/>
  <c r="T3" i="4"/>
  <c r="T9" i="4"/>
  <c r="T9" i="8" s="1"/>
  <c r="D19" i="2" l="1"/>
  <c r="C24" i="2" s="1"/>
  <c r="D24" i="2"/>
  <c r="D25" i="2"/>
  <c r="D26" i="2"/>
  <c r="D27" i="2"/>
  <c r="D23" i="2"/>
  <c r="D32" i="2"/>
  <c r="E32" i="2"/>
  <c r="F32" i="2"/>
  <c r="G32" i="2"/>
  <c r="H32" i="2"/>
  <c r="I32" i="2"/>
  <c r="J32" i="2"/>
  <c r="K32" i="2"/>
  <c r="L32" i="2"/>
  <c r="C32" i="2"/>
  <c r="K2" i="3" l="1"/>
  <c r="C26" i="2"/>
  <c r="C23" i="2"/>
  <c r="C27" i="2"/>
  <c r="C25" i="2"/>
  <c r="K2" i="7" l="1"/>
  <c r="AD2" i="4"/>
  <c r="J2" i="3"/>
  <c r="J2" i="7" s="1"/>
  <c r="G12" i="2"/>
  <c r="G13" i="2" s="1"/>
  <c r="D12" i="2"/>
  <c r="D43" i="2" s="1"/>
  <c r="E12" i="2"/>
  <c r="E43" i="2" s="1"/>
  <c r="F12" i="2"/>
  <c r="F13" i="2" s="1"/>
  <c r="H2" i="7" s="1"/>
  <c r="C12" i="2"/>
  <c r="C43" i="2" s="1"/>
  <c r="W2" i="3" l="1"/>
  <c r="E7" i="6"/>
  <c r="E5" i="6"/>
  <c r="E6" i="6"/>
  <c r="E2" i="6"/>
  <c r="D2" i="6"/>
  <c r="D6" i="6"/>
  <c r="D7" i="6"/>
  <c r="C7" i="6"/>
  <c r="C2" i="6"/>
  <c r="D44" i="2"/>
  <c r="D3" i="6" s="1"/>
  <c r="C44" i="2"/>
  <c r="D54" i="2"/>
  <c r="G57" i="2"/>
  <c r="C53" i="2"/>
  <c r="E55" i="2"/>
  <c r="F56" i="2"/>
  <c r="G43" i="2"/>
  <c r="C13" i="2"/>
  <c r="F43" i="2"/>
  <c r="D11" i="2"/>
  <c r="G11" i="2"/>
  <c r="G14" i="2"/>
  <c r="E13" i="2"/>
  <c r="E14" i="2"/>
  <c r="D14" i="2"/>
  <c r="C14" i="2"/>
  <c r="D13" i="2"/>
  <c r="F14" i="2"/>
  <c r="I2" i="7" s="1"/>
  <c r="F11" i="2"/>
  <c r="E11" i="2"/>
  <c r="B12" i="2"/>
  <c r="I7" i="7" l="1"/>
  <c r="I4" i="7"/>
  <c r="I3" i="7"/>
  <c r="I8" i="7"/>
  <c r="I5" i="7"/>
  <c r="H7" i="7"/>
  <c r="H4" i="7"/>
  <c r="H3" i="7"/>
  <c r="H8" i="7"/>
  <c r="H5" i="7"/>
  <c r="F7" i="6"/>
  <c r="F2" i="6"/>
  <c r="F4" i="6"/>
  <c r="F5" i="6"/>
  <c r="F6" i="6"/>
  <c r="C45" i="2"/>
  <c r="C4" i="6" s="1"/>
  <c r="C3" i="6"/>
  <c r="D55" i="2"/>
  <c r="F57" i="2"/>
  <c r="F44" i="2"/>
  <c r="F3" i="6" s="1"/>
  <c r="E56" i="2"/>
  <c r="D45" i="2"/>
  <c r="C54" i="2"/>
  <c r="E44" i="2"/>
  <c r="B43" i="2"/>
  <c r="B52" i="2"/>
  <c r="C11" i="2"/>
  <c r="B13" i="2"/>
  <c r="B14" i="2"/>
  <c r="D46" i="2" l="1"/>
  <c r="D5" i="6" s="1"/>
  <c r="D4" i="6"/>
  <c r="C46" i="2"/>
  <c r="B44" i="2"/>
  <c r="B2" i="6"/>
  <c r="E45" i="2"/>
  <c r="E4" i="6" s="1"/>
  <c r="E3" i="6"/>
  <c r="E57" i="2"/>
  <c r="B53" i="2"/>
  <c r="C55" i="2"/>
  <c r="D56" i="2"/>
  <c r="B45" i="2" l="1"/>
  <c r="B3" i="6"/>
  <c r="C47" i="2"/>
  <c r="C6" i="6" s="1"/>
  <c r="C5" i="6"/>
  <c r="D57" i="2"/>
  <c r="B54" i="2"/>
  <c r="C56" i="2"/>
  <c r="B46" i="2" l="1"/>
  <c r="B4" i="6"/>
  <c r="B55" i="2"/>
  <c r="C57" i="2"/>
  <c r="B47" i="2" l="1"/>
  <c r="B5" i="6"/>
  <c r="B56" i="2"/>
  <c r="B48" i="2" l="1"/>
  <c r="B7" i="6" s="1"/>
  <c r="B6" i="6"/>
  <c r="B57" i="2"/>
</calcChain>
</file>

<file path=xl/sharedStrings.xml><?xml version="1.0" encoding="utf-8"?>
<sst xmlns="http://schemas.openxmlformats.org/spreadsheetml/2006/main" count="342" uniqueCount="270">
  <si>
    <t>强化1</t>
    <phoneticPr fontId="1" type="noConversion"/>
  </si>
  <si>
    <t>强化2</t>
    <phoneticPr fontId="1" type="noConversion"/>
  </si>
  <si>
    <t>强化3</t>
  </si>
  <si>
    <t>强化4</t>
  </si>
  <si>
    <t>强化5</t>
  </si>
  <si>
    <t>生命值</t>
    <phoneticPr fontId="1" type="noConversion"/>
  </si>
  <si>
    <t>攻击力</t>
    <phoneticPr fontId="1" type="noConversion"/>
  </si>
  <si>
    <t>兵种强化</t>
    <phoneticPr fontId="1" type="noConversion"/>
  </si>
  <si>
    <t>对于同一个兵种,消耗的水晶越多,能力越强</t>
    <phoneticPr fontId="1" type="noConversion"/>
  </si>
  <si>
    <t>对于同样的水晶消耗,高等级的兵种强于低等级的兵种</t>
    <phoneticPr fontId="1" type="noConversion"/>
  </si>
  <si>
    <t>无强化</t>
    <phoneticPr fontId="1" type="noConversion"/>
  </si>
  <si>
    <t>1水晶</t>
    <phoneticPr fontId="1" type="noConversion"/>
  </si>
  <si>
    <t>2水晶</t>
    <phoneticPr fontId="1" type="noConversion"/>
  </si>
  <si>
    <t>3水晶</t>
  </si>
  <si>
    <t>4水晶</t>
  </si>
  <si>
    <t>5水晶</t>
  </si>
  <si>
    <t>6水晶</t>
  </si>
  <si>
    <t>技能ID</t>
    <phoneticPr fontId="1" type="noConversion"/>
  </si>
  <si>
    <t>持续时间</t>
    <phoneticPr fontId="1" type="noConversion"/>
  </si>
  <si>
    <t>描述</t>
    <phoneticPr fontId="1" type="noConversion"/>
  </si>
  <si>
    <t>强力一击</t>
    <phoneticPr fontId="1" type="noConversion"/>
  </si>
  <si>
    <t>召唤闪电</t>
    <phoneticPr fontId="1" type="noConversion"/>
  </si>
  <si>
    <t>寒冰地狱</t>
    <phoneticPr fontId="1" type="noConversion"/>
  </si>
  <si>
    <t>守护之光</t>
    <phoneticPr fontId="1" type="noConversion"/>
  </si>
  <si>
    <t>潜能激发</t>
    <phoneticPr fontId="1" type="noConversion"/>
  </si>
  <si>
    <t>强力护盾</t>
    <phoneticPr fontId="1" type="noConversion"/>
  </si>
  <si>
    <t>兵种属性</t>
    <phoneticPr fontId="1" type="noConversion"/>
  </si>
  <si>
    <t>技能强度</t>
    <phoneticPr fontId="1" type="noConversion"/>
  </si>
  <si>
    <t>强化系数</t>
    <phoneticPr fontId="1" type="noConversion"/>
  </si>
  <si>
    <t>总能力倍率</t>
    <phoneticPr fontId="1" type="noConversion"/>
  </si>
  <si>
    <t>注:基准攻击力建议为基准生命值的20%-35%,过高则不平衡(先出手的直接秒杀对方),过低则节奏拖沓(打半天还不死)</t>
    <phoneticPr fontId="1" type="noConversion"/>
  </si>
  <si>
    <t>ID</t>
    <phoneticPr fontId="1" type="noConversion"/>
  </si>
  <si>
    <t>1xx</t>
    <phoneticPr fontId="1" type="noConversion"/>
  </si>
  <si>
    <t>2xx</t>
  </si>
  <si>
    <t>3xx</t>
  </si>
  <si>
    <t>特效ID</t>
    <phoneticPr fontId="1" type="noConversion"/>
  </si>
  <si>
    <t>特效名称</t>
    <phoneticPr fontId="1" type="noConversion"/>
  </si>
  <si>
    <t>护盾</t>
    <phoneticPr fontId="1" type="noConversion"/>
  </si>
  <si>
    <t>加速/减速(%)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</si>
  <si>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</si>
  <si>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</si>
  <si>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</si>
  <si>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</si>
  <si>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</si>
  <si>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移速系数</t>
    <phoneticPr fontId="1" type="noConversion"/>
  </si>
  <si>
    <t>攻速系数</t>
    <phoneticPr fontId="1" type="noConversion"/>
  </si>
  <si>
    <t>减少值</t>
    <phoneticPr fontId="1" type="noConversion"/>
  </si>
  <si>
    <t>血量减少</t>
    <phoneticPr fontId="1" type="noConversion"/>
  </si>
  <si>
    <r>
      <t xml:space="preserve">当前血量减少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(正为伤害,负为治疗),不会超过血量上限</t>
    </r>
    <phoneticPr fontId="1" type="noConversion"/>
  </si>
  <si>
    <r>
      <rPr>
        <sz val="11"/>
        <color rgb="FF0070C0"/>
        <rFont val="宋体"/>
        <family val="2"/>
        <scheme val="minor"/>
      </rPr>
      <t>a1秒</t>
    </r>
    <r>
      <rPr>
        <sz val="11"/>
        <color theme="1"/>
        <rFont val="宋体"/>
        <family val="2"/>
        <scheme val="minor"/>
      </rPr>
      <t xml:space="preserve"> 内,移动速度乘以 </t>
    </r>
    <r>
      <rPr>
        <sz val="11"/>
        <color rgb="FF0070C0"/>
        <rFont val="宋体"/>
        <family val="2"/>
        <scheme val="minor"/>
      </rPr>
      <t>a2%</t>
    </r>
    <r>
      <rPr>
        <sz val="11"/>
        <color theme="1"/>
        <rFont val="宋体"/>
        <family val="2"/>
        <scheme val="minor"/>
      </rPr>
      <t xml:space="preserve"> ,攻击速度乘以 </t>
    </r>
    <r>
      <rPr>
        <sz val="11"/>
        <color rgb="FF0070C0"/>
        <rFont val="宋体"/>
        <family val="2"/>
        <scheme val="minor"/>
      </rPr>
      <t>a3%</t>
    </r>
    <phoneticPr fontId="1" type="noConversion"/>
  </si>
  <si>
    <t>吸收率</t>
    <phoneticPr fontId="1" type="noConversion"/>
  </si>
  <si>
    <t>兵种ID</t>
    <phoneticPr fontId="1" type="noConversion"/>
  </si>
  <si>
    <t>名称</t>
    <phoneticPr fontId="1" type="noConversion"/>
  </si>
  <si>
    <t>名称</t>
    <phoneticPr fontId="1" type="noConversion"/>
  </si>
  <si>
    <t>附加特效</t>
    <phoneticPr fontId="1" type="noConversion"/>
  </si>
  <si>
    <t>移动速度</t>
    <phoneticPr fontId="1" type="noConversion"/>
  </si>
  <si>
    <t>类型</t>
    <phoneticPr fontId="1" type="noConversion"/>
  </si>
  <si>
    <t>移速档位</t>
    <phoneticPr fontId="1" type="noConversion"/>
  </si>
  <si>
    <t>费用</t>
    <phoneticPr fontId="1" type="noConversion"/>
  </si>
  <si>
    <t>1费兵</t>
    <phoneticPr fontId="1" type="noConversion"/>
  </si>
  <si>
    <t>2费兵</t>
  </si>
  <si>
    <t>3费兵</t>
  </si>
  <si>
    <t>4费兵</t>
  </si>
  <si>
    <t>5费兵</t>
  </si>
  <si>
    <t>例:3水晶召出的1费兵(强化2)强于2水晶召出的1费兵(强化1)</t>
    <phoneticPr fontId="1" type="noConversion"/>
  </si>
  <si>
    <t>例:3水晶召出的2费兵(强化1)强于3水晶召出的1费兵(强化2)</t>
    <phoneticPr fontId="1" type="noConversion"/>
  </si>
  <si>
    <t>对抗1费兵数量</t>
    <phoneticPr fontId="1" type="noConversion"/>
  </si>
  <si>
    <t>注:1个该费兵能够同时对抗几个1费兵(两方同归于尽)</t>
    <phoneticPr fontId="1" type="noConversion"/>
  </si>
  <si>
    <t>对抗上一费兵数量</t>
    <phoneticPr fontId="1" type="noConversion"/>
  </si>
  <si>
    <t>注:强化系数在0-1之间,为0则完全没有强化效果,为1则为最高强化(最高强化是不合理的,因为所有人都只用1费兵,既不卡手,又不比其它兵弱)</t>
    <phoneticPr fontId="1" type="noConversion"/>
  </si>
  <si>
    <t>攻击力</t>
    <phoneticPr fontId="1" type="noConversion"/>
  </si>
  <si>
    <t>生命值</t>
    <phoneticPr fontId="1" type="noConversion"/>
  </si>
  <si>
    <t>非常慢</t>
    <phoneticPr fontId="1" type="noConversion"/>
  </si>
  <si>
    <t>非常快</t>
    <phoneticPr fontId="1" type="noConversion"/>
  </si>
  <si>
    <t>慢</t>
    <phoneticPr fontId="1" type="noConversion"/>
  </si>
  <si>
    <t>快</t>
    <phoneticPr fontId="1" type="noConversion"/>
  </si>
  <si>
    <t>普通</t>
    <phoneticPr fontId="1" type="noConversion"/>
  </si>
  <si>
    <t>移速比</t>
    <phoneticPr fontId="1" type="noConversion"/>
  </si>
  <si>
    <t>1费兵的基准</t>
    <phoneticPr fontId="1" type="noConversion"/>
  </si>
  <si>
    <t>普通兵的基准</t>
    <phoneticPr fontId="1" type="noConversion"/>
  </si>
  <si>
    <t>单位长度</t>
    <phoneticPr fontId="1" type="noConversion"/>
  </si>
  <si>
    <t>射程</t>
    <phoneticPr fontId="1" type="noConversion"/>
  </si>
  <si>
    <t>提升系数</t>
    <phoneticPr fontId="1" type="noConversion"/>
  </si>
  <si>
    <t>移速提升系数</t>
    <phoneticPr fontId="1" type="noConversion"/>
  </si>
  <si>
    <t>费用</t>
    <phoneticPr fontId="1" type="noConversion"/>
  </si>
  <si>
    <t>技能描述</t>
    <phoneticPr fontId="1" type="noConversion"/>
  </si>
  <si>
    <t>伤害系数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</si>
  <si>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附加特效</t>
    </r>
    <r>
      <rPr>
        <sz val="11"/>
        <color theme="1"/>
        <rFont val="宋体"/>
        <family val="2"/>
        <scheme val="minor"/>
      </rPr>
      <t>:该技能会对命中单位施加该ID对应的特效</t>
    </r>
    <phoneticPr fontId="1" type="noConversion"/>
  </si>
  <si>
    <t>注:该费兵的总能力是1费兵的多少倍</t>
    <phoneticPr fontId="1" type="noConversion"/>
  </si>
  <si>
    <t>注:这里的射程是 单位长度</t>
    <phoneticPr fontId="1" type="noConversion"/>
  </si>
  <si>
    <t>总强度</t>
    <phoneticPr fontId="1" type="noConversion"/>
  </si>
  <si>
    <t>强化1</t>
    <phoneticPr fontId="1" type="noConversion"/>
  </si>
  <si>
    <t>强化2</t>
  </si>
  <si>
    <t>攻击频率</t>
    <phoneticPr fontId="1" type="noConversion"/>
  </si>
  <si>
    <t>注:这里的攻击频率是 次/秒</t>
    <phoneticPr fontId="1" type="noConversion"/>
  </si>
  <si>
    <t>注:这里的移动速度是 单位长度/秒</t>
    <phoneticPr fontId="1" type="noConversion"/>
  </si>
  <si>
    <t>攻频比</t>
    <phoneticPr fontId="1" type="noConversion"/>
  </si>
  <si>
    <t>攻击频率</t>
    <phoneticPr fontId="1" type="noConversion"/>
  </si>
  <si>
    <t>总能力=攻击力*血量上限*技能强度</t>
    <phoneticPr fontId="1" type="noConversion"/>
  </si>
  <si>
    <t>强化后的单项属性提升倍率=(强化后总能力倍率/无强化总能力倍率)^(1/(总能力公式关联的属性数量+技能强度关联的属性数量))</t>
    <phoneticPr fontId="1" type="noConversion"/>
  </si>
  <si>
    <t>冷却时间</t>
    <phoneticPr fontId="1" type="noConversion"/>
  </si>
  <si>
    <t>通常攻击类的和攻击频率有关,防御类的和血量上限有关,控制类的和所有属性都无关</t>
    <phoneticPr fontId="1" type="noConversion"/>
  </si>
  <si>
    <t>描述</t>
    <phoneticPr fontId="1" type="noConversion"/>
  </si>
  <si>
    <t>血量上限</t>
    <phoneticPr fontId="1" type="noConversion"/>
  </si>
  <si>
    <t>兵种ID</t>
    <phoneticPr fontId="1" type="noConversion"/>
  </si>
  <si>
    <t>近战</t>
    <phoneticPr fontId="1" type="noConversion"/>
  </si>
  <si>
    <t>远程</t>
    <phoneticPr fontId="1" type="noConversion"/>
  </si>
  <si>
    <t>飞行</t>
    <phoneticPr fontId="1" type="noConversion"/>
  </si>
  <si>
    <t>兵种类型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</si>
  <si>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费用</t>
    </r>
    <r>
      <rPr>
        <sz val="11"/>
        <color theme="1"/>
        <rFont val="宋体"/>
        <family val="2"/>
        <scheme val="minor"/>
      </rPr>
      <t>:召唤该兵种最少需要多少水晶</t>
    </r>
    <phoneticPr fontId="1" type="noConversion"/>
  </si>
  <si>
    <t>攻频档位</t>
    <phoneticPr fontId="1" type="noConversion"/>
  </si>
  <si>
    <t>敌友</t>
    <phoneticPr fontId="1" type="noConversion"/>
  </si>
  <si>
    <t>目标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</si>
  <si>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敌友:</t>
    </r>
    <r>
      <rPr>
        <sz val="11"/>
        <color theme="1"/>
        <rFont val="宋体"/>
        <family val="3"/>
        <charset val="134"/>
        <scheme val="minor"/>
      </rPr>
      <t>1为仅对敌方有效,2为仅对友方有效,3为对双方都有效</t>
    </r>
    <phoneticPr fontId="1" type="noConversion"/>
  </si>
  <si>
    <t>弹道</t>
    <phoneticPr fontId="1" type="noConversion"/>
  </si>
  <si>
    <t>弹道ID</t>
    <phoneticPr fontId="1" type="noConversion"/>
  </si>
  <si>
    <t>追踪</t>
    <phoneticPr fontId="1" type="noConversion"/>
  </si>
  <si>
    <t>速度</t>
    <phoneticPr fontId="1" type="noConversion"/>
  </si>
  <si>
    <t>特效参数</t>
    <phoneticPr fontId="1" type="noConversion"/>
  </si>
  <si>
    <t>普攻强度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</si>
  <si>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2"/>
        <scheme val="minor"/>
      </rPr>
      <t>:该兵种的类型,即对应哪种颜色的水晶</t>
    </r>
    <phoneticPr fontId="1" type="noConversion"/>
  </si>
  <si>
    <t>可攻击类型</t>
    <phoneticPr fontId="1" type="noConversion"/>
  </si>
  <si>
    <t>1,2</t>
    <phoneticPr fontId="1" type="noConversion"/>
  </si>
  <si>
    <t>1,2,3</t>
    <phoneticPr fontId="1" type="noConversion"/>
  </si>
  <si>
    <t>2,3</t>
    <phoneticPr fontId="1" type="noConversion"/>
  </si>
  <si>
    <t>施法</t>
    <phoneticPr fontId="1" type="noConversion"/>
  </si>
  <si>
    <t>攻击ID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</si>
  <si>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弹道</t>
    </r>
    <r>
      <rPr>
        <sz val="11"/>
        <color theme="1"/>
        <rFont val="宋体"/>
        <family val="2"/>
        <scheme val="minor"/>
      </rPr>
      <t>:发射出的抛射物的弹道类型ID,没有抛射物则为0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</si>
  <si>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关联属性</t>
    </r>
    <r>
      <rPr>
        <sz val="11"/>
        <color theme="0" tint="-0.34998626667073579"/>
        <rFont val="宋体"/>
        <family val="3"/>
        <charset val="134"/>
        <scheme val="minor"/>
      </rPr>
      <t>:表示该技能对兵种的总能力提升倍率和该兵种的某项属性有关,实际的"技能强度"需要乘以该字段对应的属性值</t>
    </r>
    <phoneticPr fontId="1" type="noConversion"/>
  </si>
  <si>
    <t>注:美术资源相关的字段尚未添加</t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</si>
  <si>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技能强度:</t>
    </r>
    <r>
      <rPr>
        <sz val="11"/>
        <color theme="0" tint="-0.34998626667073579"/>
        <rFont val="宋体"/>
        <family val="3"/>
        <charset val="134"/>
        <scheme val="minor"/>
      </rPr>
      <t>该兵种拥有的技能会使其总能力提升至原先的多少倍(已计算关联属性的影响)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</si>
  <si>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攻击倍率</t>
    </r>
    <r>
      <rPr>
        <sz val="11"/>
        <color theme="0" tint="-0.34998626667073579"/>
        <rFont val="宋体"/>
        <family val="3"/>
        <charset val="134"/>
        <scheme val="minor"/>
      </rPr>
      <t>:表示该兵种的攻击力是基准的多少倍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</si>
  <si>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血量倍率</t>
    </r>
    <r>
      <rPr>
        <sz val="11"/>
        <color theme="0" tint="-0.34998626667073579"/>
        <rFont val="宋体"/>
        <family val="3"/>
        <charset val="134"/>
        <scheme val="minor"/>
      </rPr>
      <t>:表示该兵种的血量上限是基准的多少倍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</si>
  <si>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总强度</t>
    </r>
    <r>
      <rPr>
        <sz val="11"/>
        <color theme="0" tint="-0.34998626667073579"/>
        <rFont val="宋体"/>
        <family val="3"/>
        <charset val="134"/>
        <scheme val="minor"/>
      </rPr>
      <t>:该兵种的总能力是基准兵种的多少倍(品质越高的兵种总能力越高)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</si>
  <si>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</t>
    </r>
    <r>
      <rPr>
        <sz val="11"/>
        <color theme="0" tint="-0.34998626667073579"/>
        <rFont val="宋体"/>
        <family val="3"/>
        <charset val="134"/>
        <scheme val="minor"/>
      </rPr>
      <t>:表示一个兵种在拥有该技能后,其能力会提升至原来的多少倍,需要乘以"关联属性"字段对应的属性值</t>
    </r>
    <phoneticPr fontId="1" type="noConversion"/>
  </si>
  <si>
    <t>弹道参数</t>
    <phoneticPr fontId="1" type="noConversion"/>
  </si>
  <si>
    <t>垂直下落</t>
    <phoneticPr fontId="1" type="noConversion"/>
  </si>
  <si>
    <t>抛物线</t>
    <phoneticPr fontId="1" type="noConversion"/>
  </si>
  <si>
    <t>水平速度</t>
    <phoneticPr fontId="1" type="noConversion"/>
  </si>
  <si>
    <t>常规远程攻击,追踪目标飞行,命中后销毁</t>
    <phoneticPr fontId="1" type="noConversion"/>
  </si>
  <si>
    <t>直线</t>
    <phoneticPr fontId="1" type="noConversion"/>
  </si>
  <si>
    <t>否</t>
    <phoneticPr fontId="1" type="noConversion"/>
  </si>
  <si>
    <t>是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</si>
  <si>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爆炸半径</t>
    </r>
    <r>
      <rPr>
        <sz val="11"/>
        <color theme="1"/>
        <rFont val="宋体"/>
        <family val="2"/>
        <scheme val="minor"/>
      </rPr>
      <t>:子弹命中目标后的伤害半径,半径范围内的所有合理目标均视为被该子弹命中</t>
    </r>
    <phoneticPr fontId="1" type="noConversion"/>
  </si>
  <si>
    <t>爆炸半径</t>
    <phoneticPr fontId="1" type="noConversion"/>
  </si>
  <si>
    <t>沿直线飞行,可命中多个目标,飞行固定距离后销毁</t>
    <phoneticPr fontId="1" type="noConversion"/>
  </si>
  <si>
    <t>目标就是自身</t>
    <phoneticPr fontId="1" type="noConversion"/>
  </si>
  <si>
    <r>
      <t xml:space="preserve">以目标所在位置的正上方 </t>
    </r>
    <r>
      <rPr>
        <sz val="11"/>
        <color rgb="FF0070C0"/>
        <rFont val="宋体"/>
        <family val="3"/>
        <charset val="134"/>
        <scheme val="minor"/>
      </rPr>
      <t>纵坐标+a3</t>
    </r>
    <r>
      <rPr>
        <sz val="11"/>
        <color theme="1"/>
        <rFont val="宋体"/>
        <family val="2"/>
        <scheme val="minor"/>
      </rPr>
      <t xml:space="preserve"> 为子弹起点,固定以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的速度下落</t>
    </r>
    <phoneticPr fontId="1" type="noConversion"/>
  </si>
  <si>
    <t>高度差</t>
    <phoneticPr fontId="1" type="noConversion"/>
  </si>
  <si>
    <t>最长距离</t>
    <phoneticPr fontId="1" type="noConversion"/>
  </si>
  <si>
    <t>销毁方式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</si>
  <si>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是否追踪</t>
    </r>
    <r>
      <rPr>
        <sz val="11"/>
        <color theme="1"/>
        <rFont val="宋体"/>
        <family val="2"/>
        <scheme val="minor"/>
      </rPr>
      <t>:1表示子弹会追踪选中的目标,并忽视其它目标</t>
    </r>
    <phoneticPr fontId="1" type="noConversion"/>
  </si>
  <si>
    <t>2表示子弹沿着固定的轨迹移动,碰到的合理目标都算命中</t>
    <phoneticPr fontId="1" type="noConversion"/>
  </si>
  <si>
    <t>爆炸半径为0表示单体攻击</t>
    <phoneticPr fontId="1" type="noConversion"/>
  </si>
  <si>
    <t>蓝帽子，大眼睛</t>
    <phoneticPr fontId="1" type="noConversion"/>
  </si>
  <si>
    <t>绿巨人，蘑菇头</t>
    <phoneticPr fontId="1" type="noConversion"/>
  </si>
  <si>
    <t>黄帽子机器人</t>
    <phoneticPr fontId="1" type="noConversion"/>
  </si>
  <si>
    <t>碰撞半径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</si>
  <si>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碰撞半径</t>
    </r>
    <r>
      <rPr>
        <sz val="11"/>
        <color theme="1"/>
        <rFont val="宋体"/>
        <family val="3"/>
        <charset val="134"/>
        <scheme val="minor"/>
      </rPr>
      <t>：角色身体的半径（所有角色都视为圆形）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</si>
  <si>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:1为仅对地面单位(近战和远程)有效,2为仅对飞行</t>
    </r>
    <r>
      <rPr>
        <sz val="11"/>
        <color rgb="FFFF0000"/>
        <rFont val="宋体"/>
        <family val="3"/>
        <charset val="134"/>
        <scheme val="minor"/>
      </rPr>
      <t>和远程</t>
    </r>
    <r>
      <rPr>
        <sz val="11"/>
        <color theme="1"/>
        <rFont val="宋体"/>
        <family val="2"/>
        <scheme val="minor"/>
      </rPr>
      <t>单位有效,3为对所有类型单位都有效</t>
    </r>
    <phoneticPr fontId="1" type="noConversion"/>
  </si>
  <si>
    <t>缩放系数</t>
    <phoneticPr fontId="1" type="noConversion"/>
  </si>
  <si>
    <t>射程</t>
    <phoneticPr fontId="1" type="noConversion"/>
  </si>
  <si>
    <t>强化参数</t>
    <phoneticPr fontId="1" type="noConversion"/>
  </si>
  <si>
    <t>关联属性</t>
    <phoneticPr fontId="1" type="noConversion"/>
  </si>
  <si>
    <t>攻击频率</t>
    <phoneticPr fontId="1" type="noConversion"/>
  </si>
  <si>
    <r>
      <t>强化兵种的</t>
    </r>
    <r>
      <rPr>
        <b/>
        <sz val="11"/>
        <color rgb="FFFF0000"/>
        <rFont val="宋体"/>
        <family val="3"/>
        <charset val="134"/>
        <scheme val="minor"/>
      </rPr>
      <t>攻击力和血量上限都</t>
    </r>
    <r>
      <rPr>
        <b/>
        <sz val="11"/>
        <color theme="1"/>
        <rFont val="宋体"/>
        <family val="3"/>
        <charset val="134"/>
        <scheme val="minor"/>
      </rPr>
      <t>需要</t>
    </r>
    <r>
      <rPr>
        <b/>
        <sz val="11"/>
        <rFont val="宋体"/>
        <family val="3"/>
        <charset val="134"/>
        <scheme val="minor"/>
      </rPr>
      <t>乘以</t>
    </r>
    <r>
      <rPr>
        <b/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rFont val="宋体"/>
        <family val="3"/>
        <charset val="134"/>
        <scheme val="minor"/>
      </rPr>
      <t>("Strengthen_config"表中对应的)</t>
    </r>
    <r>
      <rPr>
        <b/>
        <sz val="11"/>
        <color rgb="FFFF0000"/>
        <rFont val="宋体"/>
        <family val="3"/>
        <charset val="134"/>
        <scheme val="minor"/>
      </rPr>
      <t>强化倍率^(1/x)</t>
    </r>
    <phoneticPr fontId="1" type="noConversion"/>
  </si>
  <si>
    <t>其中x为该兵种所拥有技能在"Ability_config"表中的"强化参数"字段值</t>
    <phoneticPr fontId="1" type="noConversion"/>
  </si>
  <si>
    <r>
      <t xml:space="preserve">获得一个持续 </t>
    </r>
    <r>
      <rPr>
        <sz val="11"/>
        <color rgb="FF0070C0"/>
        <rFont val="宋体"/>
        <family val="3"/>
        <charset val="134"/>
        <scheme val="minor"/>
      </rPr>
      <t>a1秒</t>
    </r>
    <r>
      <rPr>
        <sz val="11"/>
        <color theme="1"/>
        <rFont val="宋体"/>
        <family val="2"/>
        <scheme val="minor"/>
      </rPr>
      <t xml:space="preserve"> 的护盾,能吸收自身受到的 </t>
    </r>
    <r>
      <rPr>
        <sz val="11"/>
        <color rgb="FF0070C0"/>
        <rFont val="宋体"/>
        <family val="3"/>
        <charset val="134"/>
        <scheme val="minor"/>
      </rPr>
      <t>a2%</t>
    </r>
    <r>
      <rPr>
        <sz val="11"/>
        <color theme="1"/>
        <rFont val="宋体"/>
        <family val="2"/>
        <scheme val="minor"/>
      </rPr>
      <t xml:space="preserve"> 的伤害</t>
    </r>
    <phoneticPr fontId="1" type="noConversion"/>
  </si>
  <si>
    <t>绿巨人</t>
    <phoneticPr fontId="1" type="noConversion"/>
  </si>
  <si>
    <t>蓝帽子</t>
    <phoneticPr fontId="1" type="noConversion"/>
  </si>
  <si>
    <t>奶嘴</t>
    <phoneticPr fontId="1" type="noConversion"/>
  </si>
  <si>
    <t>奶嘴机器人</t>
    <phoneticPr fontId="1" type="noConversion"/>
  </si>
  <si>
    <t>荷叶帽</t>
    <phoneticPr fontId="1" type="noConversion"/>
  </si>
  <si>
    <t>黄色大肚子，荷叶帽</t>
    <phoneticPr fontId="1" type="noConversion"/>
  </si>
  <si>
    <t>近战恶魔</t>
    <phoneticPr fontId="1" type="noConversion"/>
  </si>
  <si>
    <t>远程恶魔</t>
    <phoneticPr fontId="1" type="noConversion"/>
  </si>
  <si>
    <t>飞行恶魔</t>
    <phoneticPr fontId="1" type="noConversion"/>
  </si>
  <si>
    <t>蓝色恶魔,头戴巨大野兽头骨</t>
    <phoneticPr fontId="1" type="noConversion"/>
  </si>
  <si>
    <t>蓝色恶魔,头上一对断角</t>
    <phoneticPr fontId="1" type="noConversion"/>
  </si>
  <si>
    <t>蓝色恶魔,长着翅膀</t>
    <phoneticPr fontId="1" type="noConversion"/>
  </si>
  <si>
    <t>黄帽子</t>
    <phoneticPr fontId="1" type="noConversion"/>
  </si>
  <si>
    <t>飞球</t>
    <phoneticPr fontId="1" type="noConversion"/>
  </si>
  <si>
    <t>角色资源</t>
    <phoneticPr fontId="1" type="noConversion"/>
  </si>
  <si>
    <t>长翅膀的大嘴怪</t>
    <phoneticPr fontId="1" type="noConversion"/>
  </si>
  <si>
    <t>附加特效</t>
    <phoneticPr fontId="1" type="noConversion"/>
  </si>
  <si>
    <t>命中部位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</si>
  <si>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</si>
  <si>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攻击音效</t>
    <phoneticPr fontId="1" type="noConversion"/>
  </si>
  <si>
    <t>命中音效</t>
    <phoneticPr fontId="1" type="noConversion"/>
  </si>
  <si>
    <t>强化参数</t>
    <phoneticPr fontId="1" type="noConversion"/>
  </si>
  <si>
    <t>泡泡机枪</t>
    <phoneticPr fontId="1" type="noConversion"/>
  </si>
  <si>
    <t>快速连续发射10个子弹</t>
    <phoneticPr fontId="1" type="noConversion"/>
  </si>
  <si>
    <t>普通</t>
  </si>
  <si>
    <t>快</t>
  </si>
  <si>
    <t>非常慢</t>
  </si>
  <si>
    <t>非常快</t>
  </si>
  <si>
    <t>死亡之咬</t>
    <phoneticPr fontId="1" type="noConversion"/>
  </si>
  <si>
    <t>大手里剑</t>
    <phoneticPr fontId="1" type="noConversion"/>
  </si>
  <si>
    <t>垂直速度</t>
    <phoneticPr fontId="1" type="noConversion"/>
  </si>
  <si>
    <t>抛物线:</t>
    <phoneticPr fontId="1" type="noConversion"/>
  </si>
  <si>
    <t>确定目标和自身的水平距离s</t>
    <phoneticPr fontId="1" type="noConversion"/>
  </si>
  <si>
    <t>设定子弹的水平初速度Vs</t>
    <phoneticPr fontId="1" type="noConversion"/>
  </si>
  <si>
    <t>方案1(固定高度):</t>
    <phoneticPr fontId="1" type="noConversion"/>
  </si>
  <si>
    <t>方案2(固定垂直初速度):</t>
    <phoneticPr fontId="1" type="noConversion"/>
  </si>
  <si>
    <t>暂时不做</t>
    <phoneticPr fontId="1" type="noConversion"/>
  </si>
  <si>
    <t>设定最高点高度为h</t>
    <phoneticPr fontId="1" type="noConversion"/>
  </si>
  <si>
    <t>则子弹到达最高点所需时间t=s/Vs/2</t>
    <phoneticPr fontId="1" type="noConversion"/>
  </si>
  <si>
    <t>且垂直加速度a=Vh/t=2*h/t/t</t>
    <phoneticPr fontId="1" type="noConversion"/>
  </si>
  <si>
    <t>计算得出垂直初速度Vh=2*h/t</t>
    <phoneticPr fontId="1" type="noConversion"/>
  </si>
  <si>
    <t>设定垂直初速度为Vh</t>
    <phoneticPr fontId="1" type="noConversion"/>
  </si>
  <si>
    <t>计算得出垂直加速度a=Vh/t</t>
    <phoneticPr fontId="1" type="noConversion"/>
  </si>
  <si>
    <t>且最高点高度h=Vh*t/2</t>
    <phoneticPr fontId="1" type="noConversion"/>
  </si>
  <si>
    <t>另外计算下落速度v=(h*h+s*s/4)^(1/2)/t</t>
    <phoneticPr fontId="1" type="noConversion"/>
  </si>
  <si>
    <t>该方案需要设定两个参数:水平初速度,最高点高度</t>
    <phoneticPr fontId="1" type="noConversion"/>
  </si>
  <si>
    <t>该方案需要设定两个参数:水平初速度,垂直初速度</t>
    <phoneticPr fontId="1" type="noConversion"/>
  </si>
  <si>
    <t>(子弹总是飞到固定的高度再下落,目标越近,速度就越快)</t>
    <phoneticPr fontId="1" type="noConversion"/>
  </si>
  <si>
    <t>(子弹飞行的高度不是固定的,目标越远,子弹飞得越高)</t>
    <phoneticPr fontId="1" type="noConversion"/>
  </si>
  <si>
    <t>以目标的正上方为起点,下落时追踪目标</t>
    <phoneticPr fontId="1" type="noConversion"/>
  </si>
  <si>
    <t>以抛物线扔出,达到最高点后改为追踪</t>
    <phoneticPr fontId="1" type="noConversion"/>
  </si>
  <si>
    <t>常规近战攻击,瞬间命中(速度极快)目标并销毁</t>
    <phoneticPr fontId="1" type="noConversion"/>
  </si>
  <si>
    <t>以自身为中心施法</t>
    <phoneticPr fontId="1" type="noConversion"/>
  </si>
  <si>
    <t>速度</t>
    <phoneticPr fontId="1" type="noConversion"/>
  </si>
  <si>
    <t>速度</t>
    <phoneticPr fontId="1" type="noConversion"/>
  </si>
  <si>
    <r>
      <t xml:space="preserve">爆炸半径固定为0(无范围伤害),以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速度飞行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距离(或飞行 </t>
    </r>
    <r>
      <rPr>
        <sz val="11"/>
        <color rgb="FF0070C0"/>
        <rFont val="宋体"/>
        <family val="3"/>
        <charset val="134"/>
        <scheme val="minor"/>
      </rPr>
      <t>a3/a2</t>
    </r>
    <r>
      <rPr>
        <sz val="11"/>
        <color theme="1"/>
        <rFont val="宋体"/>
        <family val="2"/>
        <scheme val="minor"/>
      </rPr>
      <t xml:space="preserve"> 时间)后销毁</t>
    </r>
    <phoneticPr fontId="1" type="noConversion"/>
  </si>
  <si>
    <t>速射</t>
    <phoneticPr fontId="1" type="noConversion"/>
  </si>
  <si>
    <t>是</t>
    <phoneticPr fontId="1" type="noConversion"/>
  </si>
  <si>
    <t>后半段</t>
    <phoneticPr fontId="1" type="noConversion"/>
  </si>
  <si>
    <t>数量</t>
    <phoneticPr fontId="1" type="noConversion"/>
  </si>
  <si>
    <r>
      <t>以极快的频率</t>
    </r>
    <r>
      <rPr>
        <sz val="11"/>
        <color theme="1"/>
        <rFont val="宋体"/>
        <family val="3"/>
        <charset val="134"/>
        <scheme val="minor"/>
      </rPr>
      <t>(间隔0.1秒)</t>
    </r>
    <r>
      <rPr>
        <sz val="11"/>
        <color theme="1"/>
        <rFont val="宋体"/>
        <family val="2"/>
        <scheme val="minor"/>
      </rPr>
      <t xml:space="preserve">向目标发射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的子弹</t>
    </r>
    <phoneticPr fontId="1" type="noConversion"/>
  </si>
  <si>
    <t>以极快的频率向目标发射多个子弹</t>
    <phoneticPr fontId="1" type="noConversion"/>
  </si>
  <si>
    <t>弹道a1</t>
    <phoneticPr fontId="1" type="noConversion"/>
  </si>
  <si>
    <t>弹道a2</t>
    <phoneticPr fontId="1" type="noConversion"/>
  </si>
  <si>
    <t>弹道a3</t>
    <phoneticPr fontId="1" type="noConversion"/>
  </si>
  <si>
    <t>特效a1</t>
    <phoneticPr fontId="1" type="noConversion"/>
  </si>
  <si>
    <t>特效a2</t>
    <phoneticPr fontId="1" type="noConversion"/>
  </si>
  <si>
    <t>特效a3</t>
    <phoneticPr fontId="1" type="noConversion"/>
  </si>
  <si>
    <t>资源本体</t>
    <phoneticPr fontId="1" type="noConversion"/>
  </si>
  <si>
    <t>资源命中</t>
    <phoneticPr fontId="1" type="noConversion"/>
  </si>
  <si>
    <t>帧数本体</t>
    <phoneticPr fontId="1" type="noConversion"/>
  </si>
  <si>
    <t>帧数命中</t>
    <phoneticPr fontId="1" type="noConversion"/>
  </si>
  <si>
    <t>资源附1</t>
    <phoneticPr fontId="1" type="noConversion"/>
  </si>
  <si>
    <t>帧数附1</t>
    <phoneticPr fontId="1" type="noConversion"/>
  </si>
  <si>
    <t>帧数本体</t>
    <phoneticPr fontId="1" type="noConversion"/>
  </si>
  <si>
    <t>资源命中</t>
    <phoneticPr fontId="1" type="noConversion"/>
  </si>
  <si>
    <t>帧数附1</t>
    <phoneticPr fontId="1" type="noConversion"/>
  </si>
  <si>
    <t>连接</t>
    <phoneticPr fontId="1" type="noConversion"/>
  </si>
  <si>
    <t>是</t>
    <phoneticPr fontId="1" type="noConversion"/>
  </si>
  <si>
    <t>连接在自身和目标之间</t>
    <phoneticPr fontId="1" type="noConversion"/>
  </si>
  <si>
    <t>持续时间</t>
    <phoneticPr fontId="1" type="noConversion"/>
  </si>
  <si>
    <t>攻击系数</t>
    <phoneticPr fontId="1" type="noConversion"/>
  </si>
  <si>
    <t>血量系数</t>
    <phoneticPr fontId="1" type="noConversion"/>
  </si>
  <si>
    <t>攻击强度</t>
    <phoneticPr fontId="1" type="noConversion"/>
  </si>
  <si>
    <t>攻击频率</t>
    <phoneticPr fontId="1" type="noConversion"/>
  </si>
  <si>
    <t>序号</t>
    <phoneticPr fontId="1" type="noConversion"/>
  </si>
  <si>
    <t>准备时间</t>
    <phoneticPr fontId="1" type="noConversion"/>
  </si>
  <si>
    <t>角色ID</t>
    <phoneticPr fontId="1" type="noConversion"/>
  </si>
  <si>
    <t>角色名称</t>
    <phoneticPr fontId="1" type="noConversion"/>
  </si>
  <si>
    <t>总时间</t>
    <phoneticPr fontId="1" type="noConversion"/>
  </si>
  <si>
    <t>正常CD</t>
    <phoneticPr fontId="1" type="noConversion"/>
  </si>
  <si>
    <t>修正CD</t>
    <phoneticPr fontId="1" type="noConversion"/>
  </si>
  <si>
    <t>阶段长度</t>
    <phoneticPr fontId="1" type="noConversion"/>
  </si>
  <si>
    <t>基准费用</t>
    <phoneticPr fontId="1" type="noConversion"/>
  </si>
  <si>
    <t>实际费用</t>
    <phoneticPr fontId="1" type="noConversion"/>
  </si>
  <si>
    <t>费用浮动</t>
    <phoneticPr fontId="1" type="noConversion"/>
  </si>
  <si>
    <t>随机</t>
    <phoneticPr fontId="1" type="noConversion"/>
  </si>
  <si>
    <t>固定</t>
    <phoneticPr fontId="1" type="noConversion"/>
  </si>
  <si>
    <t>随机</t>
    <phoneticPr fontId="1" type="noConversion"/>
  </si>
  <si>
    <t>固定</t>
    <phoneticPr fontId="1" type="noConversion"/>
  </si>
  <si>
    <t>费用ID</t>
    <phoneticPr fontId="1" type="noConversion"/>
  </si>
  <si>
    <t>费用ID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</si>
</sst>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7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0" fontId="0" fillId="0" borderId="8" xfId="0" applyBorder="1" applyAlignment="1"/>
    <xf numFmtId="0" fontId="3" fillId="4" borderId="5" xfId="0" applyFont="1" applyFill="1" applyBorder="1"/>
    <xf numFmtId="0" fontId="2" fillId="0" borderId="0" xfId="0" applyFont="1"/>
    <xf numFmtId="0" fontId="0" fillId="0" borderId="7" xfId="0" applyFill="1" applyBorder="1" applyAlignment="1"/>
    <xf numFmtId="0" fontId="0" fillId="0" borderId="0" xfId="0" applyFill="1" applyBorder="1" applyAlignme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4" borderId="6" xfId="0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/>
    <xf numFmtId="0" fontId="9" fillId="0" borderId="0" xfId="0" applyFont="1"/>
    <xf numFmtId="0" fontId="4" fillId="0" borderId="0" xfId="0" applyFont="1"/>
    <xf numFmtId="0" fontId="11" fillId="0" borderId="0" xfId="0" applyFont="1" applyFill="1" applyBorder="1" applyAlignment="1"/>
    <xf numFmtId="0" fontId="3" fillId="4" borderId="6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4" borderId="8" xfId="0" applyFont="1" applyFill="1" applyBorder="1"/>
    <xf numFmtId="0" fontId="12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0" fillId="0" borderId="8" xfId="0" applyNumberFormat="1" applyBorder="1" applyAlignment="1"/>
    <xf numFmtId="0" fontId="12" fillId="0" borderId="0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1" xfId="0" applyFont="1" applyBorder="1"/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workbookViewId="0">
      <selection activeCell="A3" sqref="A3"/>
    </sheetView>
  </sheetViews>
  <sheetFormatPr defaultRowHeight="13.5"/>
  <cols>
    <col min="2" max="2" width="9" style="1"/>
  </cols>
  <sheetData>
    <row r="1" spans="1:10" s="8" customFormat="1">
      <c r="A1" s="9" t="s">
        <v>26</v>
      </c>
    </row>
    <row r="4" spans="1:10">
      <c r="B4" s="82" t="s">
        <v>78</v>
      </c>
      <c r="C4" s="82"/>
    </row>
    <row r="5" spans="1:10">
      <c r="B5" s="7" t="s">
        <v>70</v>
      </c>
      <c r="C5" s="7" t="s">
        <v>71</v>
      </c>
      <c r="E5" t="s">
        <v>30</v>
      </c>
    </row>
    <row r="6" spans="1:10">
      <c r="B6" s="22">
        <v>25</v>
      </c>
      <c r="C6" s="22">
        <v>100</v>
      </c>
    </row>
    <row r="9" spans="1:10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t="s">
        <v>84</v>
      </c>
    </row>
    <row r="10" spans="1:10">
      <c r="B10" s="3">
        <v>1</v>
      </c>
      <c r="C10" s="22">
        <v>3</v>
      </c>
      <c r="D10" s="22">
        <v>6</v>
      </c>
      <c r="E10" s="22">
        <v>9</v>
      </c>
      <c r="F10" s="22">
        <v>12</v>
      </c>
      <c r="G10" s="22">
        <v>15</v>
      </c>
      <c r="H10" t="s">
        <v>66</v>
      </c>
      <c r="J10" t="s">
        <v>67</v>
      </c>
    </row>
    <row r="11" spans="1:10">
      <c r="B11" s="2">
        <v>1</v>
      </c>
      <c r="C11" s="2">
        <f>(2*(C12/B12)^2+0.5)^(1/2)-0.5</f>
        <v>3.0355339059327373</v>
      </c>
      <c r="D11" s="2">
        <f t="shared" ref="D11:G11" si="0">(2*(D12/C12)^2+0.5)^(1/2)-0.5</f>
        <v>2.238612787525831</v>
      </c>
      <c r="E11" s="2">
        <f t="shared" si="0"/>
        <v>1.6876275473019362</v>
      </c>
      <c r="F11" s="2">
        <f t="shared" si="0"/>
        <v>1.4916492328386208</v>
      </c>
      <c r="G11" s="2">
        <f t="shared" si="0"/>
        <v>1.3912755158683454</v>
      </c>
      <c r="H11" t="s">
        <v>68</v>
      </c>
    </row>
    <row r="12" spans="1:10">
      <c r="B12" s="2">
        <f>B10</f>
        <v>1</v>
      </c>
      <c r="C12" s="2">
        <f>IF(C10&gt;B10,(C10*(C10+1)/2)^(1/2),"参数错误")</f>
        <v>2.4494897427831779</v>
      </c>
      <c r="D12" s="2">
        <f t="shared" ref="D12:F12" si="1">IF(D10&gt;C10,(D10*(D10+1)/2)^(1/2),"参数错误")</f>
        <v>4.5825756949558398</v>
      </c>
      <c r="E12" s="2">
        <f t="shared" si="1"/>
        <v>6.7082039324993694</v>
      </c>
      <c r="F12" s="2">
        <f t="shared" si="1"/>
        <v>8.8317608663278477</v>
      </c>
      <c r="G12" s="2">
        <f t="shared" ref="G12" si="2">IF(G10&gt;F10,(G10*(G10+1)/2)^(1/2),"参数错误")</f>
        <v>10.954451150103322</v>
      </c>
      <c r="H12" t="s">
        <v>29</v>
      </c>
      <c r="J12" t="s">
        <v>88</v>
      </c>
    </row>
    <row r="13" spans="1:10">
      <c r="B13" s="2">
        <f t="shared" ref="B13:G13" si="3">INT($B$6*B12)</f>
        <v>25</v>
      </c>
      <c r="C13" s="2">
        <f t="shared" si="3"/>
        <v>61</v>
      </c>
      <c r="D13" s="2">
        <f t="shared" si="3"/>
        <v>114</v>
      </c>
      <c r="E13" s="2">
        <f t="shared" si="3"/>
        <v>167</v>
      </c>
      <c r="F13" s="2">
        <f t="shared" si="3"/>
        <v>220</v>
      </c>
      <c r="G13" s="2">
        <f t="shared" si="3"/>
        <v>273</v>
      </c>
      <c r="H13" t="s">
        <v>6</v>
      </c>
    </row>
    <row r="14" spans="1:10">
      <c r="B14" s="2">
        <f t="shared" ref="B14:G14" si="4">INT($C$6*B12)</f>
        <v>100</v>
      </c>
      <c r="C14" s="2">
        <f t="shared" si="4"/>
        <v>244</v>
      </c>
      <c r="D14" s="2">
        <f t="shared" si="4"/>
        <v>458</v>
      </c>
      <c r="E14" s="2">
        <f t="shared" si="4"/>
        <v>670</v>
      </c>
      <c r="F14" s="2">
        <f t="shared" si="4"/>
        <v>883</v>
      </c>
      <c r="G14" s="2">
        <f t="shared" si="4"/>
        <v>1095</v>
      </c>
      <c r="H14" t="s">
        <v>5</v>
      </c>
    </row>
    <row r="17" spans="2:14">
      <c r="D17" s="82" t="s">
        <v>79</v>
      </c>
      <c r="E17" s="82"/>
    </row>
    <row r="18" spans="2:14">
      <c r="B18" s="7" t="s">
        <v>80</v>
      </c>
      <c r="D18" s="7" t="s">
        <v>55</v>
      </c>
      <c r="E18" s="7" t="s">
        <v>93</v>
      </c>
      <c r="G18" s="30" t="s">
        <v>94</v>
      </c>
    </row>
    <row r="19" spans="2:14">
      <c r="B19" s="22">
        <v>1</v>
      </c>
      <c r="D19" s="22">
        <f>$B$19*1</f>
        <v>1</v>
      </c>
      <c r="E19" s="22">
        <v>0.5</v>
      </c>
      <c r="G19" t="s">
        <v>95</v>
      </c>
    </row>
    <row r="22" spans="2:14">
      <c r="B22" s="7"/>
      <c r="C22" s="7" t="s">
        <v>55</v>
      </c>
      <c r="D22" s="7" t="s">
        <v>97</v>
      </c>
      <c r="E22" s="28" t="s">
        <v>83</v>
      </c>
      <c r="G22" s="7" t="s">
        <v>77</v>
      </c>
      <c r="H22" s="7" t="s">
        <v>96</v>
      </c>
    </row>
    <row r="23" spans="2:14">
      <c r="B23" s="2" t="s">
        <v>72</v>
      </c>
      <c r="C23" s="2">
        <f>$D$19*G23</f>
        <v>0.5</v>
      </c>
      <c r="D23" s="2">
        <f>$E$19*H23</f>
        <v>0.25</v>
      </c>
      <c r="E23" s="22">
        <v>0.8</v>
      </c>
      <c r="G23" s="22">
        <v>0.5</v>
      </c>
      <c r="H23" s="22">
        <v>0.5</v>
      </c>
    </row>
    <row r="24" spans="2:14">
      <c r="B24" s="2" t="s">
        <v>74</v>
      </c>
      <c r="C24" s="2">
        <f>$D$19*G24</f>
        <v>0.75</v>
      </c>
      <c r="D24" s="2">
        <f>$E$19*H24</f>
        <v>0.375</v>
      </c>
      <c r="E24" s="22">
        <v>0.9</v>
      </c>
      <c r="G24" s="22">
        <v>0.75</v>
      </c>
      <c r="H24" s="22">
        <v>0.75</v>
      </c>
    </row>
    <row r="25" spans="2:14">
      <c r="B25" s="2" t="s">
        <v>76</v>
      </c>
      <c r="C25" s="2">
        <f>$D$19*G25</f>
        <v>1</v>
      </c>
      <c r="D25" s="2">
        <f>$E$19*H25</f>
        <v>0.5</v>
      </c>
      <c r="E25" s="22">
        <v>1</v>
      </c>
      <c r="G25" s="22">
        <v>1</v>
      </c>
      <c r="H25" s="22">
        <v>1</v>
      </c>
    </row>
    <row r="26" spans="2:14">
      <c r="B26" s="2" t="s">
        <v>75</v>
      </c>
      <c r="C26" s="2">
        <f>$D$19*G26</f>
        <v>1.5</v>
      </c>
      <c r="D26" s="2">
        <f>$E$19*H26</f>
        <v>0.75</v>
      </c>
      <c r="E26" s="22">
        <v>1.1000000000000001</v>
      </c>
      <c r="G26" s="22">
        <v>1.5</v>
      </c>
      <c r="H26" s="22">
        <v>1.5</v>
      </c>
    </row>
    <row r="27" spans="2:14">
      <c r="B27" s="2" t="s">
        <v>73</v>
      </c>
      <c r="C27" s="2">
        <f>$D$19*G27</f>
        <v>2</v>
      </c>
      <c r="D27" s="2">
        <f>$E$19*H27</f>
        <v>1</v>
      </c>
      <c r="E27" s="22">
        <v>1.2</v>
      </c>
      <c r="G27" s="22">
        <v>2</v>
      </c>
      <c r="H27" s="22">
        <v>2</v>
      </c>
    </row>
    <row r="30" spans="2:14">
      <c r="B30" s="27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N30" t="s">
        <v>89</v>
      </c>
    </row>
    <row r="31" spans="2:14">
      <c r="B31" s="2" t="s">
        <v>81</v>
      </c>
      <c r="C31" s="22">
        <v>1</v>
      </c>
      <c r="D31" s="22">
        <v>2</v>
      </c>
      <c r="E31" s="22">
        <v>3</v>
      </c>
      <c r="F31" s="22">
        <v>4</v>
      </c>
      <c r="G31" s="22">
        <v>5</v>
      </c>
      <c r="H31" s="22">
        <v>6</v>
      </c>
      <c r="I31" s="22">
        <v>7</v>
      </c>
      <c r="J31" s="22">
        <v>8</v>
      </c>
      <c r="K31" s="22">
        <v>9</v>
      </c>
      <c r="L31" s="22">
        <v>10</v>
      </c>
    </row>
    <row r="32" spans="2:14">
      <c r="B32" s="2" t="s">
        <v>82</v>
      </c>
      <c r="C32" s="2">
        <f t="shared" ref="C32:L32" si="5">1+(C31-$C$31)/10</f>
        <v>1</v>
      </c>
      <c r="D32" s="2">
        <f t="shared" si="5"/>
        <v>1.1000000000000001</v>
      </c>
      <c r="E32" s="2">
        <f t="shared" si="5"/>
        <v>1.2</v>
      </c>
      <c r="F32" s="2">
        <f t="shared" si="5"/>
        <v>1.3</v>
      </c>
      <c r="G32" s="2">
        <f t="shared" si="5"/>
        <v>1.4</v>
      </c>
      <c r="H32" s="2">
        <f t="shared" si="5"/>
        <v>1.5</v>
      </c>
      <c r="I32" s="2">
        <f t="shared" si="5"/>
        <v>1.6</v>
      </c>
      <c r="J32" s="2">
        <f t="shared" si="5"/>
        <v>1.7</v>
      </c>
      <c r="K32" s="2">
        <f t="shared" si="5"/>
        <v>1.8</v>
      </c>
      <c r="L32" s="2">
        <f t="shared" si="5"/>
        <v>1.9</v>
      </c>
    </row>
    <row r="35" spans="1:11" s="8" customFormat="1">
      <c r="A35" s="9" t="s">
        <v>7</v>
      </c>
    </row>
    <row r="38" spans="1:11">
      <c r="B38" s="25" t="s">
        <v>28</v>
      </c>
      <c r="D38" t="s">
        <v>69</v>
      </c>
    </row>
    <row r="39" spans="1:11">
      <c r="B39" s="22">
        <v>0.6</v>
      </c>
    </row>
    <row r="42" spans="1:11"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J42" s="11" t="s">
        <v>8</v>
      </c>
    </row>
    <row r="43" spans="1:11">
      <c r="B43" s="4">
        <f>B12</f>
        <v>1</v>
      </c>
      <c r="C43" s="4">
        <f t="shared" ref="C43:G43" si="6">C12</f>
        <v>2.4494897427831779</v>
      </c>
      <c r="D43" s="4">
        <f t="shared" si="6"/>
        <v>4.5825756949558398</v>
      </c>
      <c r="E43" s="4">
        <f t="shared" si="6"/>
        <v>6.7082039324993694</v>
      </c>
      <c r="F43" s="4">
        <f t="shared" si="6"/>
        <v>8.8317608663278477</v>
      </c>
      <c r="G43" s="4">
        <f t="shared" si="6"/>
        <v>10.954451150103322</v>
      </c>
      <c r="H43" s="1" t="s">
        <v>10</v>
      </c>
      <c r="J43" s="10"/>
    </row>
    <row r="44" spans="1:11">
      <c r="B44" s="4">
        <f>IF(AND($B$39&gt;=0,$B$39&lt;=1),B43*(C43/B43)^$B$39,"错误:强化系数须在0-1之间")</f>
        <v>1.7117698594097051</v>
      </c>
      <c r="C44" s="4">
        <f>IF(AND($B$39&gt;=0,$B$39&lt;=1),C43*(D43/C43)^$B$39,"错误:强化系数须在0-1之间")</f>
        <v>3.5669419253820105</v>
      </c>
      <c r="D44" s="4">
        <f>IF(AND($B$39&gt;=0,$B$39&lt;=1),D43*(E43/D43)^$B$39,"错误:强化系数须在0-1之间")</f>
        <v>5.7598027796400233</v>
      </c>
      <c r="E44" s="4">
        <f>IF(AND($B$39&gt;=0,$B$39&lt;=1),E43*(F43/E43)^$B$39,"错误:强化系数须在0-1之间")</f>
        <v>7.9117195375508738</v>
      </c>
      <c r="F44" s="4">
        <f>IF(AND($B$39&gt;=0,$B$39&lt;=1),F43*(G43/F43)^$B$39,"错误:强化系数须在0-1之间")</f>
        <v>10.050167370751511</v>
      </c>
      <c r="G44" s="5"/>
      <c r="H44" s="1" t="s">
        <v>0</v>
      </c>
      <c r="J44" s="10"/>
      <c r="K44" t="s">
        <v>64</v>
      </c>
    </row>
    <row r="45" spans="1:11">
      <c r="B45" s="4">
        <f>IF(AND($B$39&gt;=0,$B$39&lt;=1),B44*(D43/B44)^$B$39,"错误:强化系数须在0-1之间")</f>
        <v>3.0906080998765306</v>
      </c>
      <c r="C45" s="4">
        <f>IF(AND($B$39&gt;=0,$B$39&lt;=1),C44*(E43/C44)^$B$39,"错误:强化系数须在0-1之间")</f>
        <v>5.2105332250978531</v>
      </c>
      <c r="D45" s="4">
        <f>IF(AND($B$39&gt;=0,$B$39&lt;=1),D44*(F43/D44)^$B$39,"错误:强化系数须在0-1之间")</f>
        <v>7.4437439532635716</v>
      </c>
      <c r="E45" s="4">
        <f>IF(AND($B$39&gt;=0,$B$39&lt;=1),E44*(G43/E44)^$B$39,"错误:强化系数须在0-1之间")</f>
        <v>9.6175117869716811</v>
      </c>
      <c r="F45" s="6"/>
      <c r="G45" s="5"/>
      <c r="H45" s="1" t="s">
        <v>1</v>
      </c>
      <c r="J45" s="10"/>
    </row>
    <row r="46" spans="1:11">
      <c r="B46" s="2">
        <f>IF(AND($B$39&gt;=0,$B$39&lt;=1),B45*(E43/B45)^$B$39,"错误:强化系数须在0-1之间")</f>
        <v>4.9201838317393278</v>
      </c>
      <c r="C46" s="2">
        <f>IF(AND($B$39&gt;=0,$B$39&lt;=1),C45*(F43/C45)^$B$39,"错误:强化系数须在0-1之间")</f>
        <v>7.1512382734237372</v>
      </c>
      <c r="D46" s="2">
        <f>IF(AND($B$39&gt;=0,$B$39&lt;=1),D45*(G43/D45)^$B$39,"错误:强化系数须在0-1之间")</f>
        <v>9.3857924044491305</v>
      </c>
      <c r="E46" s="5"/>
      <c r="F46" s="5"/>
      <c r="G46" s="5"/>
      <c r="H46" s="1" t="s">
        <v>2</v>
      </c>
      <c r="J46" s="11" t="s">
        <v>9</v>
      </c>
    </row>
    <row r="47" spans="1:11">
      <c r="B47" s="2">
        <f>IF(AND($B$39&gt;=0,$B$39&lt;=1),B46*(F43/B46)^$B$39,"错误:强化系数须在0-1之间")</f>
        <v>6.9890944996363107</v>
      </c>
      <c r="C47" s="2">
        <f>IF(AND($B$39&gt;=0,$B$39&lt;=1),C46*(G43/C46)^$B$39,"错误:强化系数须在0-1之间")</f>
        <v>9.2364880622027172</v>
      </c>
      <c r="D47" s="5"/>
      <c r="E47" s="5"/>
      <c r="F47" s="5"/>
      <c r="G47" s="5"/>
      <c r="H47" s="1" t="s">
        <v>3</v>
      </c>
      <c r="J47" s="1"/>
    </row>
    <row r="48" spans="1:11">
      <c r="B48" s="2">
        <f>IF(AND($B$39&gt;=0,$B$39&lt;=1),B47*(G43/B47)^$B$39,"错误:强化系数须在0-1之间")</f>
        <v>9.1521417695761702</v>
      </c>
      <c r="C48" s="5"/>
      <c r="D48" s="5"/>
      <c r="E48" s="5"/>
      <c r="F48" s="5"/>
      <c r="G48" s="5"/>
      <c r="H48" s="1" t="s">
        <v>4</v>
      </c>
      <c r="J48" s="1"/>
      <c r="K48" t="s">
        <v>65</v>
      </c>
    </row>
    <row r="51" spans="2:8"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</row>
    <row r="52" spans="2:8">
      <c r="B52" s="4">
        <f>B12</f>
        <v>1</v>
      </c>
      <c r="C52" s="4"/>
      <c r="D52" s="4"/>
      <c r="E52" s="4"/>
      <c r="F52" s="4"/>
      <c r="G52" s="4"/>
      <c r="H52" s="1" t="s">
        <v>11</v>
      </c>
    </row>
    <row r="53" spans="2:8">
      <c r="B53" s="4">
        <f>IF(AND($B$39&gt;=0,$B$39&lt;=1),B52*(C53/B52)^$B$39,"错误:强化系数须在0-1之间")</f>
        <v>1.7117698594097051</v>
      </c>
      <c r="C53" s="4">
        <f>C12</f>
        <v>2.4494897427831779</v>
      </c>
      <c r="D53" s="4"/>
      <c r="E53" s="4"/>
      <c r="F53" s="4"/>
      <c r="G53" s="2"/>
      <c r="H53" s="1" t="s">
        <v>12</v>
      </c>
    </row>
    <row r="54" spans="2:8">
      <c r="B54" s="4">
        <f>IF(AND($B$39&gt;=0,$B$39&lt;=1),B53*(D54/B53)^$B$39,"错误:强化系数须在0-1之间")</f>
        <v>3.0906080998765306</v>
      </c>
      <c r="C54" s="4">
        <f>IF(AND($B$39&gt;=0,$B$39&lt;=1),C53*(D54/C53)^$B$39,"错误:强化系数须在0-1之间")</f>
        <v>3.5669419253820105</v>
      </c>
      <c r="D54" s="4">
        <f>D12</f>
        <v>4.5825756949558398</v>
      </c>
      <c r="E54" s="4"/>
      <c r="F54" s="4"/>
      <c r="G54" s="2"/>
      <c r="H54" s="1" t="s">
        <v>13</v>
      </c>
    </row>
    <row r="55" spans="2:8">
      <c r="B55" s="4">
        <f>IF(AND($B$39&gt;=0,$B$39&lt;=1),B54*(E55/B54)^$B$39,"错误:强化系数须在0-1之间")</f>
        <v>4.9201838317393278</v>
      </c>
      <c r="C55" s="4">
        <f>IF(AND($B$39&gt;=0,$B$39&lt;=1),C54*(E55/C54)^$B$39,"错误:强化系数须在0-1之间")</f>
        <v>5.2105332250978531</v>
      </c>
      <c r="D55" s="4">
        <f>IF(AND($B$39&gt;=0,$B$39&lt;=1),D54*(E55/D54)^$B$39,"错误:强化系数须在0-1之间")</f>
        <v>5.7598027796400233</v>
      </c>
      <c r="E55" s="2">
        <f>E12</f>
        <v>6.7082039324993694</v>
      </c>
      <c r="F55" s="2"/>
      <c r="G55" s="2"/>
      <c r="H55" s="1" t="s">
        <v>14</v>
      </c>
    </row>
    <row r="56" spans="2:8">
      <c r="B56" s="4">
        <f>IF(AND($B$39&gt;=0,$B$39&lt;=1),B55*(F56/B55)^$B$39,"错误:强化系数须在0-1之间")</f>
        <v>6.9890944996363107</v>
      </c>
      <c r="C56" s="4">
        <f>IF(AND($B$39&gt;=0,$B$39&lt;=1),C55*(F56/C55)^$B$39,"错误:强化系数须在0-1之间")</f>
        <v>7.1512382734237372</v>
      </c>
      <c r="D56" s="4">
        <f>IF(AND($B$39&gt;=0,$B$39&lt;=1),D55*(F56/D55)^$B$39,"错误:强化系数须在0-1之间")</f>
        <v>7.4437439532635716</v>
      </c>
      <c r="E56" s="4">
        <f>IF(AND($B$39&gt;=0,$B$39&lt;=1),E55*(F56/E55)^$B$39,"错误:强化系数须在0-1之间")</f>
        <v>7.9117195375508738</v>
      </c>
      <c r="F56" s="2">
        <f>F12</f>
        <v>8.8317608663278477</v>
      </c>
      <c r="G56" s="2"/>
      <c r="H56" s="1" t="s">
        <v>15</v>
      </c>
    </row>
    <row r="57" spans="2:8">
      <c r="B57" s="4">
        <f>IF(AND($B$39&gt;=0,$B$39&lt;=1),B56*(G57/B56)^$B$39,"错误:强化系数须在0-1之间")</f>
        <v>9.1521417695761702</v>
      </c>
      <c r="C57" s="4">
        <f>IF(AND($B$39&gt;=0,$B$39&lt;=1),C56*(G57/C56)^$B$39,"错误:强化系数须在0-1之间")</f>
        <v>9.2364880622027172</v>
      </c>
      <c r="D57" s="4">
        <f>IF(AND($B$39&gt;=0,$B$39&lt;=1),D56*(G57/D56)^$B$39,"错误:强化系数须在0-1之间")</f>
        <v>9.3857924044491305</v>
      </c>
      <c r="E57" s="4">
        <f>IF(AND($B$39&gt;=0,$B$39&lt;=1),E56*(G57/E56)^$B$39,"错误:强化系数须在0-1之间")</f>
        <v>9.6175117869716811</v>
      </c>
      <c r="F57" s="4">
        <f>IF(AND($B$39&gt;=0,$B$39&lt;=1),F56*(G57/F56)^$B$39,"错误:强化系数须在0-1之间")</f>
        <v>10.050167370751511</v>
      </c>
      <c r="G57" s="2">
        <f>G12</f>
        <v>10.954451150103322</v>
      </c>
      <c r="H57" s="1" t="s">
        <v>16</v>
      </c>
    </row>
    <row r="60" spans="2:8">
      <c r="B60" s="10" t="s">
        <v>99</v>
      </c>
    </row>
    <row r="61" spans="2:8">
      <c r="B61" s="10"/>
    </row>
    <row r="62" spans="2:8">
      <c r="B62" s="10"/>
      <c r="C62" t="s">
        <v>98</v>
      </c>
    </row>
    <row r="64" spans="2:8">
      <c r="B64" s="11" t="s">
        <v>165</v>
      </c>
    </row>
    <row r="66" spans="3:3">
      <c r="C66" s="31" t="s">
        <v>166</v>
      </c>
    </row>
  </sheetData>
  <mergeCells count="2">
    <mergeCell ref="B4:C4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11" sqref="A11"/>
    </sheetView>
  </sheetViews>
  <sheetFormatPr defaultRowHeight="13.5"/>
  <sheetData>
    <row r="1" spans="1:20" s="14" customFormat="1">
      <c r="A1" s="46" t="str">
        <f>技能!A1</f>
        <v>技能ID</v>
      </c>
      <c r="B1" s="48" t="str">
        <f>技能!B1</f>
        <v>名称</v>
      </c>
      <c r="C1" s="48" t="str">
        <f>技能!C1</f>
        <v>敌友</v>
      </c>
      <c r="D1" s="48" t="str">
        <f>技能!D1</f>
        <v>目标</v>
      </c>
      <c r="E1" s="48" t="str">
        <f>技能!E1</f>
        <v>伤害系数</v>
      </c>
      <c r="F1" s="48" t="str">
        <f>技能!F1</f>
        <v>冷却时间</v>
      </c>
      <c r="G1" s="48" t="str">
        <f>技能!G1</f>
        <v>命中部位</v>
      </c>
      <c r="H1" s="48" t="str">
        <f>技能!H1</f>
        <v>弹道</v>
      </c>
      <c r="I1" s="48" t="str">
        <f>技能!I1</f>
        <v>弹道参数</v>
      </c>
      <c r="J1" s="48" t="str">
        <f>技能!J1</f>
        <v>附加特效</v>
      </c>
      <c r="K1" s="52" t="str">
        <f>技能!K1</f>
        <v>特效参数</v>
      </c>
      <c r="L1" s="52" t="str">
        <f>技能!L1</f>
        <v>资源本体</v>
      </c>
      <c r="M1" s="52" t="str">
        <f>技能!M1</f>
        <v>帧数本体</v>
      </c>
      <c r="N1" s="52" t="str">
        <f>技能!N1</f>
        <v>资源命中</v>
      </c>
      <c r="O1" s="52" t="str">
        <f>技能!O1</f>
        <v>帧数命中</v>
      </c>
      <c r="P1" s="52" t="str">
        <f>技能!P1</f>
        <v>资源附1</v>
      </c>
      <c r="Q1" s="52" t="str">
        <f>技能!Q1</f>
        <v>帧数附1</v>
      </c>
      <c r="R1" s="52" t="str">
        <f>技能!R1</f>
        <v>攻击音效</v>
      </c>
      <c r="S1" s="52" t="str">
        <f>技能!S1</f>
        <v>命中音效</v>
      </c>
      <c r="T1" s="52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15</v>
      </c>
      <c r="G2">
        <f>技能!G2</f>
        <v>2</v>
      </c>
      <c r="H2">
        <f>技能!H2</f>
        <v>3</v>
      </c>
      <c r="I2" t="str">
        <f>技能!I2</f>
        <v>3,0,0</v>
      </c>
      <c r="J2">
        <f>技能!J2</f>
        <v>3</v>
      </c>
      <c r="K2" t="str">
        <f>技能!K2</f>
        <v>5,0.5,0</v>
      </c>
      <c r="L2" t="str">
        <f>技能!L2</f>
        <v>ASkill_1001_1</v>
      </c>
      <c r="M2">
        <f>技能!M2</f>
        <v>0</v>
      </c>
      <c r="N2" t="str">
        <f>技能!N2</f>
        <v>ASkill_1001_2</v>
      </c>
      <c r="O2">
        <f>技能!O2</f>
        <v>8</v>
      </c>
      <c r="P2" t="str">
        <f>技能!P2</f>
        <v>ASkill_1001_3</v>
      </c>
      <c r="Q2">
        <f>技能!Q2</f>
        <v>1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使周围的友军获得一个能吸收50%伤害的护盾,持续5秒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10</v>
      </c>
      <c r="G3">
        <f>技能!G3</f>
        <v>1</v>
      </c>
      <c r="H3">
        <f>技能!H3</f>
        <v>1</v>
      </c>
      <c r="I3" t="str">
        <f>技能!I3</f>
        <v>0,0,0</v>
      </c>
      <c r="J3">
        <f>技能!J3</f>
        <v>3</v>
      </c>
      <c r="K3" t="str">
        <f>技能!K3</f>
        <v>5,1,0</v>
      </c>
      <c r="L3" t="str">
        <f>技能!L3</f>
        <v>ASkill_1002_1</v>
      </c>
      <c r="M3">
        <f>技能!M3</f>
        <v>0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1</v>
      </c>
      <c r="R3" t="str">
        <f>技能!R3</f>
        <v>ASkillVoiceRun_1002</v>
      </c>
      <c r="S3">
        <f>技能!S3</f>
        <v>0</v>
      </c>
      <c r="T3" t="str">
        <f>技能!T3</f>
        <v>自身不会受到伤害,持续5秒</v>
      </c>
    </row>
    <row r="4" spans="1:20">
      <c r="A4">
        <f>技能!A4</f>
        <v>1003</v>
      </c>
      <c r="B4" t="str">
        <f>技能!B4</f>
        <v>死亡之咬</v>
      </c>
      <c r="C4">
        <f>技能!C4</f>
        <v>1</v>
      </c>
      <c r="D4">
        <f>技能!D4</f>
        <v>1</v>
      </c>
      <c r="E4">
        <f>技能!E4</f>
        <v>6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0</v>
      </c>
      <c r="N4" t="str">
        <f>技能!N4</f>
        <v>ASkill_1003_2</v>
      </c>
      <c r="O4">
        <f>技能!O4</f>
        <v>5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 攻击力*600% 的伤害,冷却时间10秒</v>
      </c>
    </row>
    <row r="5" spans="1:20">
      <c r="A5">
        <f>技能!A5</f>
        <v>2001</v>
      </c>
      <c r="B5" t="str">
        <f>技能!B6</f>
        <v>强力一击</v>
      </c>
      <c r="C5">
        <f>技能!C5</f>
        <v>1</v>
      </c>
      <c r="D5">
        <f>技能!D5</f>
        <v>3</v>
      </c>
      <c r="E5">
        <f>技能!E5</f>
        <v>2</v>
      </c>
      <c r="F5">
        <f>技能!F5</f>
        <v>10</v>
      </c>
      <c r="G5">
        <f>技能!G5</f>
        <v>1</v>
      </c>
      <c r="H5">
        <f>技能!H6</f>
        <v>1</v>
      </c>
      <c r="I5" t="str">
        <f>技能!I6</f>
        <v>0,0,0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0</v>
      </c>
      <c r="N5" t="str">
        <f>技能!N5</f>
        <v>ASkill_2001_2</v>
      </c>
      <c r="O5">
        <f>技能!O5</f>
        <v>13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技能!T6</f>
        <v>对单个目标造成 攻击力*600% 的伤害,冷却时间10秒</v>
      </c>
    </row>
    <row r="6" spans="1:20">
      <c r="A6">
        <f>技能!A6</f>
        <v>2002</v>
      </c>
      <c r="B6" t="str">
        <f>技能!B5</f>
        <v>召唤闪电</v>
      </c>
      <c r="C6">
        <f>技能!C6</f>
        <v>1</v>
      </c>
      <c r="D6">
        <f>技能!D6</f>
        <v>3</v>
      </c>
      <c r="E6">
        <f>技能!E6</f>
        <v>6</v>
      </c>
      <c r="F6">
        <f>技能!F6</f>
        <v>10</v>
      </c>
      <c r="G6">
        <f>技能!G6</f>
        <v>1</v>
      </c>
      <c r="H6">
        <f>技能!H5</f>
        <v>1</v>
      </c>
      <c r="I6" t="str">
        <f>技能!I5</f>
        <v>2,0,0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技能!T5</f>
        <v>对目标及周围的所有敌人造成 攻击力*200% 的伤害,冷却时间10秒</v>
      </c>
    </row>
    <row r="7" spans="1:20">
      <c r="A7">
        <f>技能!A7</f>
        <v>2003</v>
      </c>
      <c r="B7" t="str">
        <f>技能!B7</f>
        <v>大手里剑</v>
      </c>
      <c r="C7">
        <f>技能!C7</f>
        <v>1</v>
      </c>
      <c r="D7">
        <f>技能!D7</f>
        <v>1</v>
      </c>
      <c r="E7">
        <f>技能!E7</f>
        <v>2.5</v>
      </c>
      <c r="F7">
        <f>技能!F7</f>
        <v>15</v>
      </c>
      <c r="G7">
        <f>技能!G7</f>
        <v>1</v>
      </c>
      <c r="H7">
        <f>技能!H7</f>
        <v>4</v>
      </c>
      <c r="I7" t="str">
        <f>技能!I7</f>
        <v>0,6,4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1</v>
      </c>
      <c r="N7" t="str">
        <f>技能!N7</f>
        <v>ASkill_2003_2</v>
      </c>
      <c r="O7">
        <v>1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扔出一个大手里剑,对碰到的所有敌人造成250%的伤害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4</v>
      </c>
      <c r="F8">
        <f>技能!F8</f>
        <v>10</v>
      </c>
      <c r="G8">
        <f>技能!G8</f>
        <v>3</v>
      </c>
      <c r="H8">
        <f>技能!H8</f>
        <v>8</v>
      </c>
      <c r="I8" t="str">
        <f>技能!I8</f>
        <v>0,1.5,0</v>
      </c>
      <c r="J8">
        <f>技能!J8</f>
        <v>2</v>
      </c>
      <c r="K8" t="str">
        <f>技能!K8</f>
        <v>2,-10,-10</v>
      </c>
      <c r="L8" t="str">
        <f>技能!L8</f>
        <v>ASkill_3001_1</v>
      </c>
      <c r="M8">
        <f>技能!M8</f>
        <v>10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1</v>
      </c>
      <c r="R8" t="str">
        <f>技能!R8</f>
        <v>ASkillVoiceRun_3001</v>
      </c>
      <c r="S8">
        <f>技能!S8</f>
        <v>0</v>
      </c>
      <c r="T8" t="str">
        <f>技能!T8</f>
        <v>对目标造成 攻击力*400% 的伤害,并冻结2秒,冷却时间10秒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20</v>
      </c>
      <c r="G9">
        <f>技能!G9</f>
        <v>5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5,2,2</v>
      </c>
      <c r="L9" t="str">
        <f>技能!L9</f>
        <v>ASkill_3002_1</v>
      </c>
      <c r="M9">
        <f>技能!M9</f>
        <v>0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4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使周围的友军移动速度提升至200%,攻击速度提升至200%,持续5秒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1</v>
      </c>
      <c r="F10">
        <f>技能!F10</f>
        <v>10</v>
      </c>
      <c r="G10">
        <f>技能!G10</f>
        <v>1</v>
      </c>
      <c r="H10">
        <f>技能!H10</f>
        <v>7</v>
      </c>
      <c r="I10" t="str">
        <f>技能!I10</f>
        <v>0,6,10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tabSelected="1" workbookViewId="0">
      <selection activeCell="F5" sqref="F5"/>
    </sheetView>
  </sheetViews>
  <sheetFormatPr defaultRowHeight="13.5"/>
  <sheetData>
    <row r="1" spans="1:4" s="88" customFormat="1">
      <c r="A1" s="88" t="str">
        <f>出怪!A1</f>
        <v>序号</v>
      </c>
      <c r="B1" s="88" t="str">
        <f>出怪!B1</f>
        <v>准备时间</v>
      </c>
      <c r="C1" s="88" t="str">
        <f>出怪!C1</f>
        <v>角色ID</v>
      </c>
      <c r="D1" s="88" t="str">
        <f>出怪!D1</f>
        <v>角色名称</v>
      </c>
    </row>
    <row r="2" spans="1:4">
      <c r="A2">
        <f>出怪!A2</f>
        <v>1</v>
      </c>
      <c r="B2">
        <f>出怪!B2</f>
        <v>3.5</v>
      </c>
      <c r="C2">
        <f>出怪!C2</f>
        <v>3003</v>
      </c>
      <c r="D2" t="str">
        <f>出怪!D2</f>
        <v>飞行恶魔</v>
      </c>
    </row>
    <row r="3" spans="1:4">
      <c r="A3">
        <f>出怪!A3</f>
        <v>2</v>
      </c>
      <c r="B3">
        <f>出怪!B3</f>
        <v>3</v>
      </c>
      <c r="C3">
        <f>出怪!C3</f>
        <v>3003</v>
      </c>
      <c r="D3" t="str">
        <f>出怪!D3</f>
        <v>飞行恶魔</v>
      </c>
    </row>
    <row r="4" spans="1:4">
      <c r="A4">
        <f>出怪!A4</f>
        <v>3</v>
      </c>
      <c r="B4">
        <f>出怪!B4</f>
        <v>4.5</v>
      </c>
      <c r="C4">
        <f>出怪!C4</f>
        <v>3002</v>
      </c>
      <c r="D4" t="str">
        <f>出怪!D4</f>
        <v>飞球</v>
      </c>
    </row>
    <row r="5" spans="1:4">
      <c r="A5">
        <f>出怪!A5</f>
        <v>4</v>
      </c>
      <c r="B5">
        <f>出怪!B5</f>
        <v>3.5</v>
      </c>
      <c r="C5">
        <f>出怪!C5</f>
        <v>3003</v>
      </c>
      <c r="D5" t="str">
        <f>出怪!D5</f>
        <v>飞行恶魔</v>
      </c>
    </row>
    <row r="6" spans="1:4">
      <c r="A6">
        <f>出怪!A6</f>
        <v>5</v>
      </c>
      <c r="B6">
        <f>出怪!B6</f>
        <v>5</v>
      </c>
      <c r="C6">
        <f>出怪!C6</f>
        <v>1003</v>
      </c>
      <c r="D6" t="str">
        <f>出怪!D6</f>
        <v>近战恶魔</v>
      </c>
    </row>
    <row r="7" spans="1:4">
      <c r="A7">
        <f>出怪!A7</f>
        <v>6</v>
      </c>
      <c r="B7">
        <f>出怪!B7</f>
        <v>3</v>
      </c>
      <c r="C7">
        <f>出怪!C7</f>
        <v>3003</v>
      </c>
      <c r="D7" t="str">
        <f>出怪!D7</f>
        <v>飞行恶魔</v>
      </c>
    </row>
    <row r="8" spans="1:4">
      <c r="A8">
        <f>出怪!A8</f>
        <v>7</v>
      </c>
      <c r="B8">
        <f>出怪!B8</f>
        <v>3.5</v>
      </c>
      <c r="C8">
        <f>出怪!C8</f>
        <v>3003</v>
      </c>
      <c r="D8" t="str">
        <f>出怪!D8</f>
        <v>飞行恶魔</v>
      </c>
    </row>
    <row r="9" spans="1:4">
      <c r="A9">
        <f>出怪!A9</f>
        <v>8</v>
      </c>
      <c r="B9">
        <f>出怪!B9</f>
        <v>5</v>
      </c>
      <c r="C9">
        <f>出怪!C9</f>
        <v>1002</v>
      </c>
      <c r="D9" t="str">
        <f>出怪!D9</f>
        <v>蓝帽子</v>
      </c>
    </row>
    <row r="10" spans="1:4">
      <c r="A10">
        <f>出怪!A10</f>
        <v>9</v>
      </c>
      <c r="B10">
        <f>出怪!B10</f>
        <v>4.5</v>
      </c>
      <c r="C10">
        <f>出怪!C10</f>
        <v>2003</v>
      </c>
      <c r="D10" t="str">
        <f>出怪!D10</f>
        <v>远程恶魔</v>
      </c>
    </row>
    <row r="11" spans="1:4">
      <c r="A11">
        <f>出怪!A11</f>
        <v>10</v>
      </c>
      <c r="B11">
        <f>出怪!B11</f>
        <v>3</v>
      </c>
      <c r="C11">
        <f>出怪!C11</f>
        <v>3003</v>
      </c>
      <c r="D11" t="str">
        <f>出怪!D11</f>
        <v>飞行恶魔</v>
      </c>
    </row>
    <row r="12" spans="1:4">
      <c r="A12">
        <f>出怪!A12</f>
        <v>11</v>
      </c>
      <c r="B12">
        <f>出怪!B12</f>
        <v>3</v>
      </c>
      <c r="C12">
        <f>出怪!C12</f>
        <v>3003</v>
      </c>
      <c r="D12" t="str">
        <f>出怪!D12</f>
        <v>飞行恶魔</v>
      </c>
    </row>
    <row r="13" spans="1:4">
      <c r="A13">
        <f>出怪!A13</f>
        <v>12</v>
      </c>
      <c r="B13">
        <f>出怪!B13</f>
        <v>4.5</v>
      </c>
      <c r="C13">
        <f>出怪!C13</f>
        <v>1002</v>
      </c>
      <c r="D13" t="str">
        <f>出怪!D13</f>
        <v>蓝帽子</v>
      </c>
    </row>
    <row r="14" spans="1:4">
      <c r="A14">
        <f>出怪!A14</f>
        <v>13</v>
      </c>
      <c r="B14">
        <f>出怪!B14</f>
        <v>4.5</v>
      </c>
      <c r="C14">
        <f>出怪!C14</f>
        <v>1002</v>
      </c>
      <c r="D14" t="str">
        <f>出怪!D14</f>
        <v>蓝帽子</v>
      </c>
    </row>
    <row r="15" spans="1:4">
      <c r="A15">
        <f>出怪!A15</f>
        <v>14</v>
      </c>
      <c r="B15">
        <f>出怪!B15</f>
        <v>3.5</v>
      </c>
      <c r="C15">
        <f>出怪!C15</f>
        <v>3002</v>
      </c>
      <c r="D15" t="str">
        <f>出怪!D15</f>
        <v>飞球</v>
      </c>
    </row>
    <row r="16" spans="1:4">
      <c r="A16">
        <f>出怪!A16</f>
        <v>15</v>
      </c>
      <c r="B16">
        <f>出怪!B16</f>
        <v>4</v>
      </c>
      <c r="C16">
        <f>出怪!C16</f>
        <v>2003</v>
      </c>
      <c r="D16" t="str">
        <f>出怪!D16</f>
        <v>远程恶魔</v>
      </c>
    </row>
    <row r="17" spans="1:4">
      <c r="A17">
        <f>出怪!A17</f>
        <v>16</v>
      </c>
      <c r="B17">
        <f>出怪!B17</f>
        <v>3</v>
      </c>
      <c r="C17">
        <f>出怪!C17</f>
        <v>3002</v>
      </c>
      <c r="D17" t="str">
        <f>出怪!D17</f>
        <v>飞球</v>
      </c>
    </row>
    <row r="18" spans="1:4">
      <c r="A18">
        <f>出怪!A18</f>
        <v>17</v>
      </c>
      <c r="B18">
        <f>出怪!B18</f>
        <v>3.5</v>
      </c>
      <c r="C18">
        <f>出怪!C18</f>
        <v>2003</v>
      </c>
      <c r="D18" t="str">
        <f>出怪!D18</f>
        <v>远程恶魔</v>
      </c>
    </row>
    <row r="19" spans="1:4">
      <c r="A19">
        <f>出怪!A19</f>
        <v>18</v>
      </c>
      <c r="B19">
        <f>出怪!B19</f>
        <v>4.5</v>
      </c>
      <c r="C19">
        <f>出怪!C19</f>
        <v>1001</v>
      </c>
      <c r="D19" t="str">
        <f>出怪!D19</f>
        <v>绿巨人</v>
      </c>
    </row>
    <row r="20" spans="1:4">
      <c r="A20">
        <f>出怪!A20</f>
        <v>19</v>
      </c>
      <c r="B20">
        <f>出怪!B20</f>
        <v>3</v>
      </c>
      <c r="C20">
        <f>出怪!C20</f>
        <v>3002</v>
      </c>
      <c r="D20" t="str">
        <f>出怪!D20</f>
        <v>飞球</v>
      </c>
    </row>
    <row r="21" spans="1:4">
      <c r="A21">
        <f>出怪!A21</f>
        <v>20</v>
      </c>
      <c r="B21">
        <f>出怪!B21</f>
        <v>3</v>
      </c>
      <c r="C21">
        <f>出怪!C21</f>
        <v>2002</v>
      </c>
      <c r="D21" t="str">
        <f>出怪!D21</f>
        <v>荷叶帽</v>
      </c>
    </row>
    <row r="22" spans="1:4">
      <c r="A22">
        <f>出怪!A22</f>
        <v>21</v>
      </c>
      <c r="B22">
        <f>出怪!B22</f>
        <v>3</v>
      </c>
      <c r="C22">
        <f>出怪!C22</f>
        <v>1003</v>
      </c>
      <c r="D22" t="str">
        <f>出怪!D22</f>
        <v>近战恶魔</v>
      </c>
    </row>
    <row r="23" spans="1:4">
      <c r="A23">
        <f>出怪!A23</f>
        <v>22</v>
      </c>
      <c r="B23">
        <f>出怪!B23</f>
        <v>3</v>
      </c>
      <c r="C23">
        <f>出怪!C23</f>
        <v>2003</v>
      </c>
      <c r="D23" t="str">
        <f>出怪!D23</f>
        <v>远程恶魔</v>
      </c>
    </row>
    <row r="24" spans="1:4">
      <c r="A24">
        <f>出怪!A24</f>
        <v>23</v>
      </c>
      <c r="B24">
        <f>出怪!B24</f>
        <v>3</v>
      </c>
      <c r="C24">
        <f>出怪!C24</f>
        <v>2003</v>
      </c>
      <c r="D24" t="str">
        <f>出怪!D24</f>
        <v>远程恶魔</v>
      </c>
    </row>
    <row r="25" spans="1:4">
      <c r="A25">
        <f>出怪!A25</f>
        <v>24</v>
      </c>
      <c r="B25">
        <f>出怪!B25</f>
        <v>3</v>
      </c>
      <c r="C25">
        <f>出怪!C25</f>
        <v>1003</v>
      </c>
      <c r="D25" t="str">
        <f>出怪!D25</f>
        <v>近战恶魔</v>
      </c>
    </row>
    <row r="26" spans="1:4">
      <c r="A26">
        <f>出怪!A26</f>
        <v>25</v>
      </c>
      <c r="B26">
        <f>出怪!B26</f>
        <v>4.5</v>
      </c>
      <c r="C26">
        <f>出怪!C26</f>
        <v>1001</v>
      </c>
      <c r="D26" t="str">
        <f>出怪!D26</f>
        <v>绿巨人</v>
      </c>
    </row>
    <row r="27" spans="1:4">
      <c r="A27">
        <f>出怪!A27</f>
        <v>26</v>
      </c>
      <c r="B27">
        <f>出怪!B27</f>
        <v>5</v>
      </c>
      <c r="C27">
        <f>出怪!C27</f>
        <v>1001</v>
      </c>
      <c r="D27" t="str">
        <f>出怪!D27</f>
        <v>绿巨人</v>
      </c>
    </row>
    <row r="28" spans="1:4">
      <c r="A28">
        <f>出怪!A28</f>
        <v>27</v>
      </c>
      <c r="B28">
        <f>出怪!B28</f>
        <v>3.5</v>
      </c>
      <c r="C28">
        <f>出怪!C28</f>
        <v>2001</v>
      </c>
      <c r="D28" t="str">
        <f>出怪!D28</f>
        <v>奶嘴</v>
      </c>
    </row>
    <row r="29" spans="1:4">
      <c r="A29">
        <f>出怪!A29</f>
        <v>28</v>
      </c>
      <c r="B29">
        <f>出怪!B29</f>
        <v>4.5</v>
      </c>
      <c r="C29">
        <f>出怪!C29</f>
        <v>1001</v>
      </c>
      <c r="D29" t="str">
        <f>出怪!D29</f>
        <v>绿巨人</v>
      </c>
    </row>
    <row r="30" spans="1:4">
      <c r="A30">
        <f>出怪!A30</f>
        <v>29</v>
      </c>
      <c r="B30">
        <f>出怪!B30</f>
        <v>3</v>
      </c>
      <c r="C30">
        <f>出怪!C30</f>
        <v>2003</v>
      </c>
      <c r="D30" t="str">
        <f>出怪!D30</f>
        <v>远程恶魔</v>
      </c>
    </row>
    <row r="31" spans="1:4">
      <c r="A31">
        <f>出怪!A31</f>
        <v>30</v>
      </c>
      <c r="B31">
        <f>出怪!B31</f>
        <v>3</v>
      </c>
      <c r="C31">
        <f>出怪!C31</f>
        <v>2003</v>
      </c>
      <c r="D31" t="str">
        <f>出怪!D31</f>
        <v>远程恶魔</v>
      </c>
    </row>
    <row r="32" spans="1:4">
      <c r="A32">
        <f>出怪!A32</f>
        <v>31</v>
      </c>
      <c r="B32">
        <f>出怪!B32</f>
        <v>4</v>
      </c>
      <c r="C32">
        <f>出怪!C32</f>
        <v>1001</v>
      </c>
      <c r="D32" t="str">
        <f>出怪!D32</f>
        <v>绿巨人</v>
      </c>
    </row>
    <row r="33" spans="1:4">
      <c r="A33">
        <f>出怪!A33</f>
        <v>32</v>
      </c>
      <c r="B33">
        <f>出怪!B33</f>
        <v>4</v>
      </c>
      <c r="C33">
        <f>出怪!C33</f>
        <v>1001</v>
      </c>
      <c r="D33" t="str">
        <f>出怪!D33</f>
        <v>绿巨人</v>
      </c>
    </row>
    <row r="34" spans="1:4">
      <c r="A34">
        <f>出怪!A34</f>
        <v>33</v>
      </c>
      <c r="B34">
        <f>出怪!B34</f>
        <v>4.5</v>
      </c>
      <c r="C34">
        <f>出怪!C34</f>
        <v>1001</v>
      </c>
      <c r="D34" t="str">
        <f>出怪!D34</f>
        <v>绿巨人</v>
      </c>
    </row>
    <row r="35" spans="1:4">
      <c r="A35">
        <f>出怪!A35</f>
        <v>34</v>
      </c>
      <c r="B35">
        <f>出怪!B35</f>
        <v>3.5</v>
      </c>
      <c r="C35">
        <f>出怪!C35</f>
        <v>3001</v>
      </c>
      <c r="D35" t="str">
        <f>出怪!D35</f>
        <v>黄帽子</v>
      </c>
    </row>
    <row r="36" spans="1:4">
      <c r="A36">
        <f>出怪!A36</f>
        <v>35</v>
      </c>
      <c r="B36">
        <f>出怪!B36</f>
        <v>4.5</v>
      </c>
      <c r="C36">
        <f>出怪!C36</f>
        <v>1001</v>
      </c>
      <c r="D36" t="str">
        <f>出怪!D36</f>
        <v>绿巨人</v>
      </c>
    </row>
    <row r="37" spans="1:4">
      <c r="A37">
        <f>出怪!A37</f>
        <v>36</v>
      </c>
      <c r="B37">
        <f>出怪!B37</f>
        <v>4</v>
      </c>
      <c r="C37">
        <f>出怪!C37</f>
        <v>1001</v>
      </c>
      <c r="D37" t="str">
        <f>出怪!D37</f>
        <v>绿巨人</v>
      </c>
    </row>
    <row r="38" spans="1:4">
      <c r="A38">
        <f>出怪!A38</f>
        <v>37</v>
      </c>
      <c r="B38">
        <f>出怪!B38</f>
        <v>3</v>
      </c>
      <c r="C38">
        <f>出怪!C38</f>
        <v>1003</v>
      </c>
      <c r="D38" t="str">
        <f>出怪!D38</f>
        <v>近战恶魔</v>
      </c>
    </row>
    <row r="39" spans="1:4">
      <c r="A39">
        <f>出怪!A39</f>
        <v>38</v>
      </c>
      <c r="B39">
        <f>出怪!B39</f>
        <v>3.5</v>
      </c>
      <c r="C39">
        <f>出怪!C39</f>
        <v>2001</v>
      </c>
      <c r="D39" t="str">
        <f>出怪!D39</f>
        <v>奶嘴</v>
      </c>
    </row>
    <row r="40" spans="1:4">
      <c r="A40">
        <f>出怪!A40</f>
        <v>39</v>
      </c>
      <c r="B40">
        <f>出怪!B40</f>
        <v>4</v>
      </c>
      <c r="C40">
        <f>出怪!C40</f>
        <v>1001</v>
      </c>
      <c r="D40" t="str">
        <f>出怪!D40</f>
        <v>绿巨人</v>
      </c>
    </row>
    <row r="41" spans="1:4">
      <c r="A41">
        <f>出怪!A41</f>
        <v>40</v>
      </c>
      <c r="B41">
        <f>出怪!B41</f>
        <v>3</v>
      </c>
      <c r="C41">
        <f>出怪!C41</f>
        <v>2003</v>
      </c>
      <c r="D41" t="str">
        <f>出怪!D41</f>
        <v>远程恶魔</v>
      </c>
    </row>
    <row r="42" spans="1:4">
      <c r="A42">
        <f>出怪!A42</f>
        <v>41</v>
      </c>
      <c r="B42">
        <f>出怪!B42</f>
        <v>5</v>
      </c>
      <c r="C42">
        <f>出怪!C42</f>
        <v>1001</v>
      </c>
      <c r="D42" t="str">
        <f>出怪!D42</f>
        <v>绿巨人</v>
      </c>
    </row>
    <row r="43" spans="1:4">
      <c r="A43">
        <f>出怪!A43</f>
        <v>42</v>
      </c>
      <c r="B43">
        <f>出怪!B43</f>
        <v>3.5</v>
      </c>
      <c r="C43">
        <f>出怪!C43</f>
        <v>2001</v>
      </c>
      <c r="D43" t="str">
        <f>出怪!D43</f>
        <v>奶嘴</v>
      </c>
    </row>
    <row r="44" spans="1:4">
      <c r="A44">
        <f>出怪!A44</f>
        <v>43</v>
      </c>
      <c r="B44">
        <f>出怪!B44</f>
        <v>3.5</v>
      </c>
      <c r="C44">
        <f>出怪!C44</f>
        <v>2001</v>
      </c>
      <c r="D44" t="str">
        <f>出怪!D44</f>
        <v>奶嘴</v>
      </c>
    </row>
    <row r="45" spans="1:4">
      <c r="A45">
        <f>出怪!A45</f>
        <v>44</v>
      </c>
      <c r="B45">
        <f>出怪!B45</f>
        <v>3</v>
      </c>
      <c r="C45">
        <f>出怪!C45</f>
        <v>2003</v>
      </c>
      <c r="D45" t="str">
        <f>出怪!D45</f>
        <v>远程恶魔</v>
      </c>
    </row>
    <row r="46" spans="1:4">
      <c r="A46">
        <f>出怪!A46</f>
        <v>45</v>
      </c>
      <c r="B46">
        <f>出怪!B46</f>
        <v>4</v>
      </c>
      <c r="C46">
        <f>出怪!C46</f>
        <v>1001</v>
      </c>
      <c r="D46" t="str">
        <f>出怪!D46</f>
        <v>绿巨人</v>
      </c>
    </row>
    <row r="47" spans="1:4">
      <c r="A47">
        <f>出怪!A47</f>
        <v>46</v>
      </c>
      <c r="B47">
        <f>出怪!B47</f>
        <v>5</v>
      </c>
      <c r="C47">
        <f>出怪!C47</f>
        <v>1001</v>
      </c>
      <c r="D47" t="str">
        <f>出怪!D47</f>
        <v>绿巨人</v>
      </c>
    </row>
    <row r="48" spans="1:4">
      <c r="A48">
        <f>出怪!A48</f>
        <v>47</v>
      </c>
      <c r="B48">
        <f>出怪!B48</f>
        <v>3</v>
      </c>
      <c r="C48">
        <f>出怪!C48</f>
        <v>2003</v>
      </c>
      <c r="D48" t="str">
        <f>出怪!D48</f>
        <v>远程恶魔</v>
      </c>
    </row>
    <row r="49" spans="1:4">
      <c r="A49">
        <f>出怪!A49</f>
        <v>48</v>
      </c>
      <c r="B49">
        <f>出怪!B49</f>
        <v>4</v>
      </c>
      <c r="C49">
        <f>出怪!C49</f>
        <v>1001</v>
      </c>
      <c r="D49" t="str">
        <f>出怪!D49</f>
        <v>绿巨人</v>
      </c>
    </row>
    <row r="50" spans="1:4">
      <c r="A50">
        <f>出怪!A50</f>
        <v>49</v>
      </c>
      <c r="B50">
        <f>出怪!B50</f>
        <v>3.5</v>
      </c>
      <c r="C50">
        <f>出怪!C50</f>
        <v>3001</v>
      </c>
      <c r="D50" t="str">
        <f>出怪!D50</f>
        <v>黄帽子</v>
      </c>
    </row>
    <row r="51" spans="1:4">
      <c r="A51">
        <f>出怪!A51</f>
        <v>50</v>
      </c>
      <c r="B51">
        <f>出怪!B51</f>
        <v>5</v>
      </c>
      <c r="C51">
        <f>出怪!C51</f>
        <v>1001</v>
      </c>
      <c r="D51" t="str">
        <f>出怪!D51</f>
        <v>绿巨人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3.5"/>
  <sheetData>
    <row r="1" spans="1:6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s="1" t="s">
        <v>10</v>
      </c>
      <c r="B2" s="29">
        <f>全局!B43/全局!B$43</f>
        <v>1</v>
      </c>
      <c r="C2" s="29">
        <f>全局!C43/全局!C$43</f>
        <v>1</v>
      </c>
      <c r="D2" s="29">
        <f>全局!D43/全局!D$43</f>
        <v>1</v>
      </c>
      <c r="E2" s="29">
        <f>全局!E43/全局!E$43</f>
        <v>1</v>
      </c>
      <c r="F2" s="29">
        <f>全局!F43/全局!F$43</f>
        <v>1</v>
      </c>
    </row>
    <row r="3" spans="1:6">
      <c r="A3" s="1" t="s">
        <v>91</v>
      </c>
      <c r="B3" s="29">
        <f>全局!B44/全局!B$43</f>
        <v>1.7117698594097051</v>
      </c>
      <c r="C3" s="29">
        <f>全局!C44/全局!C$43</f>
        <v>1.4561979432210859</v>
      </c>
      <c r="D3" s="29">
        <f>全局!D44/全局!D$43</f>
        <v>1.2568920107484505</v>
      </c>
      <c r="E3" s="29">
        <f>全局!E44/全局!E$43</f>
        <v>1.1794095136584635</v>
      </c>
      <c r="F3" s="29">
        <f>全局!F44/全局!F$43</f>
        <v>1.137957370321131</v>
      </c>
    </row>
    <row r="4" spans="1:6">
      <c r="A4" s="1" t="s">
        <v>92</v>
      </c>
      <c r="B4" s="29">
        <f>全局!B45/全局!B$43</f>
        <v>3.0906080998765306</v>
      </c>
      <c r="C4" s="29">
        <f>全局!C45/全局!C$43</f>
        <v>2.1271912815513576</v>
      </c>
      <c r="D4" s="29">
        <f>全局!D45/全局!D$43</f>
        <v>1.6243581009381021</v>
      </c>
      <c r="E4" s="29">
        <f>全局!E45/全局!E$43</f>
        <v>1.4336940086716103</v>
      </c>
      <c r="F4" s="29">
        <f>全局!F45/全局!F$43</f>
        <v>0</v>
      </c>
    </row>
    <row r="5" spans="1:6">
      <c r="A5" s="1" t="s">
        <v>2</v>
      </c>
      <c r="B5" s="29">
        <f>全局!B46/全局!B$43</f>
        <v>4.9201838317393278</v>
      </c>
      <c r="C5" s="29">
        <f>全局!C46/全局!C$43</f>
        <v>2.9194807998249885</v>
      </c>
      <c r="D5" s="29">
        <f>全局!D46/全局!D$43</f>
        <v>2.0481478166918916</v>
      </c>
      <c r="E5" s="29">
        <f>全局!E46/全局!E$43</f>
        <v>0</v>
      </c>
      <c r="F5" s="29">
        <f>全局!F46/全局!F$43</f>
        <v>0</v>
      </c>
    </row>
    <row r="6" spans="1:6">
      <c r="A6" s="1" t="s">
        <v>3</v>
      </c>
      <c r="B6" s="29">
        <f>全局!B47/全局!B$43</f>
        <v>6.9890944996363107</v>
      </c>
      <c r="C6" s="29">
        <f>全局!C47/全局!C$43</f>
        <v>3.7707804612841387</v>
      </c>
      <c r="D6" s="29">
        <f>全局!D47/全局!D$43</f>
        <v>0</v>
      </c>
      <c r="E6" s="29">
        <f>全局!E47/全局!E$43</f>
        <v>0</v>
      </c>
      <c r="F6" s="29">
        <f>全局!F47/全局!F$43</f>
        <v>0</v>
      </c>
    </row>
    <row r="7" spans="1:6">
      <c r="A7" s="1" t="s">
        <v>4</v>
      </c>
      <c r="B7" s="29">
        <f>全局!B48/全局!B$43</f>
        <v>9.1521417695761702</v>
      </c>
      <c r="C7" s="29">
        <f>全局!C48/全局!C$43</f>
        <v>0</v>
      </c>
      <c r="D7" s="29">
        <f>全局!D48/全局!D$43</f>
        <v>0</v>
      </c>
      <c r="E7" s="29">
        <f>全局!E48/全局!E$43</f>
        <v>0</v>
      </c>
      <c r="F7" s="29">
        <f>全局!F48/全局!F$43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showGridLines="0" workbookViewId="0">
      <selection activeCell="J15" sqref="J15:K23"/>
    </sheetView>
  </sheetViews>
  <sheetFormatPr defaultRowHeight="13.5"/>
  <cols>
    <col min="1" max="17" width="9" style="1"/>
    <col min="18" max="18" width="9" style="12"/>
    <col min="19" max="22" width="9" style="1"/>
    <col min="23" max="23" width="9" style="13"/>
  </cols>
  <sheetData>
    <row r="1" spans="1:23" s="78" customFormat="1">
      <c r="A1" s="20" t="s">
        <v>51</v>
      </c>
      <c r="B1" s="21" t="s">
        <v>52</v>
      </c>
      <c r="C1" s="21" t="s">
        <v>56</v>
      </c>
      <c r="D1" s="21" t="s">
        <v>58</v>
      </c>
      <c r="E1" s="21" t="s">
        <v>126</v>
      </c>
      <c r="F1" s="21" t="s">
        <v>17</v>
      </c>
      <c r="G1" s="78" t="s">
        <v>161</v>
      </c>
      <c r="H1" s="21" t="s">
        <v>70</v>
      </c>
      <c r="I1" s="21" t="s">
        <v>103</v>
      </c>
      <c r="J1" s="21" t="s">
        <v>55</v>
      </c>
      <c r="K1" s="21" t="s">
        <v>93</v>
      </c>
      <c r="L1" s="21" t="s">
        <v>189</v>
      </c>
      <c r="M1" s="21" t="s">
        <v>182</v>
      </c>
      <c r="N1" s="21" t="s">
        <v>160</v>
      </c>
      <c r="O1" s="21" t="s">
        <v>157</v>
      </c>
      <c r="P1" s="42" t="s">
        <v>102</v>
      </c>
      <c r="Q1" s="21" t="s">
        <v>119</v>
      </c>
      <c r="R1" s="78" t="s">
        <v>27</v>
      </c>
      <c r="S1" s="21" t="s">
        <v>57</v>
      </c>
      <c r="T1" s="21" t="s">
        <v>110</v>
      </c>
      <c r="U1" s="21" t="s">
        <v>249</v>
      </c>
      <c r="V1" s="21" t="s">
        <v>250</v>
      </c>
      <c r="W1" s="78" t="s">
        <v>90</v>
      </c>
    </row>
    <row r="2" spans="1:23">
      <c r="A2" s="32">
        <v>1001</v>
      </c>
      <c r="B2" s="33" t="s">
        <v>168</v>
      </c>
      <c r="C2" s="33">
        <v>1</v>
      </c>
      <c r="D2" s="33">
        <v>5</v>
      </c>
      <c r="E2" s="39">
        <f>A2</f>
        <v>1001</v>
      </c>
      <c r="F2" s="39">
        <f>A2</f>
        <v>1001</v>
      </c>
      <c r="G2" s="29">
        <v>1</v>
      </c>
      <c r="H2" s="39">
        <f>INT(U2*LOOKUP(D2,全局!$B$9:$G$9,全局!$B$13:$G$13))</f>
        <v>33</v>
      </c>
      <c r="I2" s="39">
        <f>INT(V2*LOOKUP(D2,全局!$B$9:$G$9,全局!$B$14:$G$14))</f>
        <v>1059</v>
      </c>
      <c r="J2" s="33">
        <f>VLOOKUP(S2,全局!$B$23:$D$27,2,FALSE)</f>
        <v>1</v>
      </c>
      <c r="K2" s="33">
        <f>VLOOKUP(T2,全局!$B$23:$D$27,3,FALSE)</f>
        <v>0.5</v>
      </c>
      <c r="L2" s="33">
        <f>2+LOOKUP(E2,攻击!A2:A10,攻击!Y2:Y10)+LOOKUP(F2,技能!A2:A10,技能!AB2:AB10)</f>
        <v>2</v>
      </c>
      <c r="M2" s="33" t="str">
        <f t="shared" ref="M2:M10" si="0">"Hero_"&amp;A2</f>
        <v>Hero_1001</v>
      </c>
      <c r="N2" s="33">
        <v>0.8</v>
      </c>
      <c r="O2" s="39">
        <v>150</v>
      </c>
      <c r="P2" s="35" t="s">
        <v>155</v>
      </c>
      <c r="Q2" s="12">
        <f>LOOKUP(E2,攻击!A2:A10,攻击!Z2:Z10)</f>
        <v>2</v>
      </c>
      <c r="R2" s="12">
        <f>LOOKUP(F2,技能!A2:A10,技能!AC2:AC10)</f>
        <v>3</v>
      </c>
      <c r="S2" s="12" t="s">
        <v>192</v>
      </c>
      <c r="T2" s="12" t="s">
        <v>192</v>
      </c>
      <c r="U2" s="79">
        <v>0.15</v>
      </c>
      <c r="V2" s="63">
        <v>1.2</v>
      </c>
      <c r="W2" s="12">
        <f>Q2*R2*U2*V2*(K2/全局!$E$19)*LOOKUP(J2,全局!$C$23:$C$27,全局!$E$23:$E$27)*LOOKUP(G2,全局!$C$31:$L$31,全局!$C$32:$L$32)</f>
        <v>1.0799999999999998</v>
      </c>
    </row>
    <row r="3" spans="1:23">
      <c r="A3" s="32">
        <v>1002</v>
      </c>
      <c r="B3" s="33" t="s">
        <v>169</v>
      </c>
      <c r="C3" s="33">
        <v>1</v>
      </c>
      <c r="D3" s="33">
        <v>4</v>
      </c>
      <c r="E3" s="39">
        <f t="shared" ref="E3:E10" si="1">A3</f>
        <v>1002</v>
      </c>
      <c r="F3" s="39">
        <f t="shared" ref="F3:F10" si="2">A3</f>
        <v>1002</v>
      </c>
      <c r="G3" s="29">
        <v>2</v>
      </c>
      <c r="H3" s="39">
        <f>INT(U3*LOOKUP(D3,全局!$B$9:$G$9,全局!$B$13:$G$13))</f>
        <v>50</v>
      </c>
      <c r="I3" s="39">
        <f>INT(V3*LOOKUP(D3,全局!$B$9:$G$9,全局!$B$14:$G$14))</f>
        <v>871</v>
      </c>
      <c r="J3" s="33">
        <f>VLOOKUP(S3,全局!$B$23:$D$27,2,FALSE)</f>
        <v>2</v>
      </c>
      <c r="K3" s="33">
        <f>VLOOKUP(T3,全局!$B$23:$D$27,3,FALSE)</f>
        <v>0.5</v>
      </c>
      <c r="L3" s="33">
        <f>2+LOOKUP(E3,攻击!A3:A11,攻击!Y3:Y11)+LOOKUP(F3,技能!A3:A11,技能!AB3:AB11)</f>
        <v>2</v>
      </c>
      <c r="M3" s="33" t="str">
        <f t="shared" si="0"/>
        <v>Hero_1002</v>
      </c>
      <c r="N3" s="33">
        <v>1</v>
      </c>
      <c r="O3" s="39">
        <v>100</v>
      </c>
      <c r="P3" s="35" t="s">
        <v>154</v>
      </c>
      <c r="Q3" s="12">
        <f>LOOKUP(E3,攻击!A3:A11,攻击!Z3:Z11)</f>
        <v>1</v>
      </c>
      <c r="R3" s="12">
        <f>LOOKUP(F3,技能!A3:A11,技能!AC3:AC11)</f>
        <v>2</v>
      </c>
      <c r="S3" s="12" t="s">
        <v>195</v>
      </c>
      <c r="T3" s="12" t="s">
        <v>192</v>
      </c>
      <c r="U3" s="79">
        <v>0.3</v>
      </c>
      <c r="V3" s="63">
        <v>1.3</v>
      </c>
      <c r="W3" s="12">
        <f>Q3*R3*U3*V3*(K3/全局!$E$19)*LOOKUP(J3,全局!$C$23:$C$27,全局!$E$23:$E$27)*LOOKUP(G3,全局!$C$31:$L$31,全局!$C$32:$L$32)</f>
        <v>1.0296000000000001</v>
      </c>
    </row>
    <row r="4" spans="1:23">
      <c r="A4" s="32">
        <v>1003</v>
      </c>
      <c r="B4" s="33" t="s">
        <v>174</v>
      </c>
      <c r="C4" s="33">
        <v>1</v>
      </c>
      <c r="D4" s="33">
        <v>3</v>
      </c>
      <c r="E4" s="39">
        <f t="shared" si="1"/>
        <v>1003</v>
      </c>
      <c r="F4" s="39">
        <f t="shared" si="2"/>
        <v>1003</v>
      </c>
      <c r="G4" s="29">
        <v>1</v>
      </c>
      <c r="H4" s="39">
        <f>INT(U4*LOOKUP(D4,全局!$B$9:$G$9,全局!$B$13:$G$13))</f>
        <v>28</v>
      </c>
      <c r="I4" s="39">
        <f>INT(V4*LOOKUP(D4,全局!$B$9:$G$9,全局!$B$14:$G$14))</f>
        <v>641</v>
      </c>
      <c r="J4" s="33">
        <f>VLOOKUP(S4,全局!$B$23:$D$27,2,FALSE)</f>
        <v>1.5</v>
      </c>
      <c r="K4" s="33">
        <f>VLOOKUP(T4,全局!$B$23:$D$27,3,FALSE)</f>
        <v>0.75</v>
      </c>
      <c r="L4" s="33">
        <f>2+LOOKUP(E4,攻击!A4:A12,攻击!Y4:Y12)+LOOKUP(F4,技能!A4:A12,技能!AB4:AB12)</f>
        <v>2</v>
      </c>
      <c r="M4" s="33" t="str">
        <f t="shared" si="0"/>
        <v>Hero_1003</v>
      </c>
      <c r="N4" s="33">
        <v>0.68</v>
      </c>
      <c r="O4" s="39">
        <v>100</v>
      </c>
      <c r="P4" s="35" t="s">
        <v>177</v>
      </c>
      <c r="Q4" s="12">
        <f>LOOKUP(E4,攻击!A4:A12,攻击!Z4:Z12)</f>
        <v>1</v>
      </c>
      <c r="R4" s="12">
        <f>LOOKUP(F4,技能!A4:A12,技能!AC4:AC12)</f>
        <v>1.7999999999999998</v>
      </c>
      <c r="S4" s="12" t="s">
        <v>193</v>
      </c>
      <c r="T4" s="12" t="s">
        <v>193</v>
      </c>
      <c r="U4" s="79">
        <v>0.25</v>
      </c>
      <c r="V4" s="63">
        <v>1.4</v>
      </c>
      <c r="W4" s="12">
        <f>Q4*R4*U4*V4*(K4/全局!$E$19)*LOOKUP(J4,全局!$C$23:$C$27,全局!$E$23:$E$27)*LOOKUP(G4,全局!$C$31:$L$31,全局!$C$32:$L$32)</f>
        <v>1.0394999999999999</v>
      </c>
    </row>
    <row r="5" spans="1:23">
      <c r="A5" s="32">
        <v>2001</v>
      </c>
      <c r="B5" s="33" t="s">
        <v>170</v>
      </c>
      <c r="C5" s="33">
        <v>2</v>
      </c>
      <c r="D5" s="33">
        <v>4</v>
      </c>
      <c r="E5" s="39">
        <f t="shared" si="1"/>
        <v>2001</v>
      </c>
      <c r="F5" s="39">
        <f t="shared" si="2"/>
        <v>2001</v>
      </c>
      <c r="G5" s="29">
        <v>9</v>
      </c>
      <c r="H5" s="39">
        <f>INT(U5*LOOKUP(D5,全局!$B$9:$G$9,全局!$B$13:$G$13))</f>
        <v>200</v>
      </c>
      <c r="I5" s="39">
        <f>INT(V5*LOOKUP(D5,全局!$B$9:$G$9,全局!$B$14:$G$14))</f>
        <v>301</v>
      </c>
      <c r="J5" s="33">
        <f>VLOOKUP(S5,全局!$B$23:$D$27,2,FALSE)</f>
        <v>0.5</v>
      </c>
      <c r="K5" s="33">
        <f>VLOOKUP(T5,全局!$B$23:$D$27,3,FALSE)</f>
        <v>0.25</v>
      </c>
      <c r="L5" s="33">
        <f>2+LOOKUP(E5,攻击!A5:A13,攻击!Y5:Y13)+LOOKUP(F5,技能!A5:A13,技能!AB5:AB13)</f>
        <v>2</v>
      </c>
      <c r="M5" s="33" t="str">
        <f t="shared" si="0"/>
        <v>Hero_2001</v>
      </c>
      <c r="N5" s="33">
        <v>1</v>
      </c>
      <c r="O5" s="39">
        <v>140</v>
      </c>
      <c r="P5" s="35" t="s">
        <v>171</v>
      </c>
      <c r="Q5" s="12">
        <f>LOOKUP(E5,攻击!A5:A13,攻击!Z5:Z13)</f>
        <v>1</v>
      </c>
      <c r="R5" s="12">
        <f>LOOKUP(F5,技能!A5:A13,技能!AC5:AC13)</f>
        <v>2.6</v>
      </c>
      <c r="S5" s="12" t="s">
        <v>194</v>
      </c>
      <c r="T5" s="12" t="s">
        <v>194</v>
      </c>
      <c r="U5" s="79">
        <v>1.2</v>
      </c>
      <c r="V5" s="63">
        <v>0.45</v>
      </c>
      <c r="W5" s="12">
        <f>Q5*R5*U5*V5*(K5/全局!$E$19)*LOOKUP(J5,全局!$C$23:$C$27,全局!$E$23:$E$27)*LOOKUP(G5,全局!$C$31:$L$31,全局!$C$32:$L$32)</f>
        <v>1.0108800000000002</v>
      </c>
    </row>
    <row r="6" spans="1:23">
      <c r="A6" s="32">
        <v>2002</v>
      </c>
      <c r="B6" s="39" t="s">
        <v>172</v>
      </c>
      <c r="C6" s="39">
        <v>2</v>
      </c>
      <c r="D6" s="39">
        <v>2</v>
      </c>
      <c r="E6" s="39">
        <f t="shared" si="1"/>
        <v>2002</v>
      </c>
      <c r="F6" s="39">
        <f t="shared" si="2"/>
        <v>2002</v>
      </c>
      <c r="G6" s="29">
        <v>6</v>
      </c>
      <c r="H6" s="39">
        <f>INT(U6*LOOKUP(D6,全局!$B$9:$G$9,全局!$B$13:$G$13))</f>
        <v>39</v>
      </c>
      <c r="I6" s="39">
        <f>INT(V6*LOOKUP(D6,全局!$B$9:$G$9,全局!$B$14:$G$14))</f>
        <v>97</v>
      </c>
      <c r="J6" s="33">
        <f>VLOOKUP(S6,全局!$B$23:$D$27,2,FALSE)</f>
        <v>1</v>
      </c>
      <c r="K6" s="33">
        <f>VLOOKUP(T6,全局!$B$23:$D$27,3,FALSE)</f>
        <v>0.75</v>
      </c>
      <c r="L6" s="33">
        <f>2+LOOKUP(E6,攻击!A6:A14,攻击!Y6:Y14)+LOOKUP(F6,技能!A6:A14,技能!AB6:AB14)</f>
        <v>2</v>
      </c>
      <c r="M6" s="33" t="str">
        <f t="shared" si="0"/>
        <v>Hero_2002</v>
      </c>
      <c r="N6" s="33">
        <v>1.22</v>
      </c>
      <c r="O6" s="39">
        <v>65</v>
      </c>
      <c r="P6" s="35" t="s">
        <v>173</v>
      </c>
      <c r="Q6" s="12">
        <f>LOOKUP(E6,攻击!A6:A14,攻击!Z6:Z14)</f>
        <v>1</v>
      </c>
      <c r="R6" s="12">
        <f>LOOKUP(F6,技能!A6:A14,技能!AC6:AC14)</f>
        <v>1.7999999999999998</v>
      </c>
      <c r="S6" s="1" t="s">
        <v>192</v>
      </c>
      <c r="T6" s="12" t="s">
        <v>193</v>
      </c>
      <c r="U6" s="79">
        <v>0.65</v>
      </c>
      <c r="V6" s="63">
        <v>0.4</v>
      </c>
      <c r="W6" s="12">
        <f>Q6*R6*U6*V6*(K6/全局!$E$19)*LOOKUP(J6,全局!$C$23:$C$27,全局!$E$23:$E$27)*LOOKUP(G6,全局!$C$31:$L$31,全局!$C$32:$L$32)</f>
        <v>1.0529999999999999</v>
      </c>
    </row>
    <row r="7" spans="1:23">
      <c r="A7" s="32">
        <v>2003</v>
      </c>
      <c r="B7" s="39" t="s">
        <v>175</v>
      </c>
      <c r="C7" s="39">
        <v>2</v>
      </c>
      <c r="D7" s="39">
        <v>3</v>
      </c>
      <c r="E7" s="39">
        <f t="shared" si="1"/>
        <v>2003</v>
      </c>
      <c r="F7" s="39">
        <f t="shared" si="2"/>
        <v>2003</v>
      </c>
      <c r="G7" s="29">
        <v>4</v>
      </c>
      <c r="H7" s="39">
        <f>INT(U7*LOOKUP(D7,全局!$B$9:$G$9,全局!$B$13:$G$13))</f>
        <v>85</v>
      </c>
      <c r="I7" s="39">
        <f>INT(V7*LOOKUP(D7,全局!$B$9:$G$9,全局!$B$14:$G$14))</f>
        <v>229</v>
      </c>
      <c r="J7" s="33">
        <f>VLOOKUP(S7,全局!$B$23:$D$27,2,FALSE)</f>
        <v>1.5</v>
      </c>
      <c r="K7" s="33">
        <f>VLOOKUP(T7,全局!$B$23:$D$27,3,FALSE)</f>
        <v>0.5</v>
      </c>
      <c r="L7" s="33">
        <f>2+LOOKUP(E7,攻击!A7:A15,攻击!Y7:Y15)+LOOKUP(F7,技能!A7:A15,技能!AB7:AB15)</f>
        <v>2</v>
      </c>
      <c r="M7" s="33" t="str">
        <f t="shared" si="0"/>
        <v>Hero_2003</v>
      </c>
      <c r="N7" s="39">
        <v>1</v>
      </c>
      <c r="O7" s="39">
        <v>100</v>
      </c>
      <c r="P7" s="35" t="s">
        <v>178</v>
      </c>
      <c r="Q7" s="12">
        <f>LOOKUP(E7,攻击!A7:A15,攻击!Z7:Z15)</f>
        <v>1</v>
      </c>
      <c r="R7" s="12">
        <f>LOOKUP(F7,技能!A7:A15,技能!AC7:AC15)</f>
        <v>2</v>
      </c>
      <c r="S7" s="12" t="s">
        <v>193</v>
      </c>
      <c r="T7" s="12" t="s">
        <v>192</v>
      </c>
      <c r="U7" s="79">
        <v>0.75</v>
      </c>
      <c r="V7" s="63">
        <v>0.5</v>
      </c>
      <c r="W7" s="12">
        <f>Q7*R7*U7*V7*(K7/全局!$E$19)*LOOKUP(J7,全局!$C$23:$C$27,全局!$E$23:$E$27)*LOOKUP(G7,全局!$C$31:$L$31,全局!$C$32:$L$32)</f>
        <v>1.0725000000000002</v>
      </c>
    </row>
    <row r="8" spans="1:23">
      <c r="A8" s="32">
        <v>3001</v>
      </c>
      <c r="B8" s="39" t="s">
        <v>180</v>
      </c>
      <c r="C8" s="39">
        <v>3</v>
      </c>
      <c r="D8" s="39">
        <v>4</v>
      </c>
      <c r="E8" s="39">
        <f t="shared" si="1"/>
        <v>3001</v>
      </c>
      <c r="F8" s="39">
        <f t="shared" si="2"/>
        <v>3001</v>
      </c>
      <c r="G8" s="29">
        <v>4</v>
      </c>
      <c r="H8" s="39">
        <f>INT(U8*LOOKUP(D8,全局!$B$9:$G$9,全局!$B$13:$G$13))</f>
        <v>75</v>
      </c>
      <c r="I8" s="39">
        <f>INT(V8*LOOKUP(D8,全局!$B$9:$G$9,全局!$B$14:$G$14))</f>
        <v>569</v>
      </c>
      <c r="J8" s="33">
        <f>VLOOKUP(S8,全局!$B$23:$D$27,2,FALSE)</f>
        <v>1</v>
      </c>
      <c r="K8" s="33">
        <f>VLOOKUP(T8,全局!$B$23:$D$27,3,FALSE)</f>
        <v>0.5</v>
      </c>
      <c r="L8" s="33">
        <f>2+LOOKUP(E8,攻击!A8:A16,攻击!Y8:Y16)+LOOKUP(F8,技能!A8:A16,技能!AB8:AB16)</f>
        <v>2</v>
      </c>
      <c r="M8" s="33" t="str">
        <f t="shared" si="0"/>
        <v>Hero_3001</v>
      </c>
      <c r="N8" s="33">
        <v>1</v>
      </c>
      <c r="O8" s="39">
        <v>100</v>
      </c>
      <c r="P8" s="35" t="s">
        <v>156</v>
      </c>
      <c r="Q8" s="12">
        <f>LOOKUP(E8,攻击!A8:A16,攻击!Z8:Z16)</f>
        <v>1</v>
      </c>
      <c r="R8" s="12">
        <f>LOOKUP(F8,技能!A8:A16,技能!AC8:AC16)</f>
        <v>2.16</v>
      </c>
      <c r="S8" s="12" t="s">
        <v>192</v>
      </c>
      <c r="T8" s="12" t="s">
        <v>192</v>
      </c>
      <c r="U8" s="79">
        <v>0.45</v>
      </c>
      <c r="V8" s="63">
        <v>0.85</v>
      </c>
      <c r="W8" s="12">
        <f>Q8*R8*U8*V8*(K8/全局!$E$19)*LOOKUP(J8,全局!$C$23:$C$27,全局!$E$23:$E$27)*LOOKUP(G8,全局!$C$31:$L$31,全局!$C$32:$L$32)</f>
        <v>1.07406</v>
      </c>
    </row>
    <row r="9" spans="1:23">
      <c r="A9" s="32">
        <v>3002</v>
      </c>
      <c r="B9" s="33" t="s">
        <v>181</v>
      </c>
      <c r="C9" s="33">
        <v>3</v>
      </c>
      <c r="D9" s="33">
        <v>2</v>
      </c>
      <c r="E9" s="39">
        <f t="shared" si="1"/>
        <v>3002</v>
      </c>
      <c r="F9" s="39">
        <f t="shared" si="2"/>
        <v>3002</v>
      </c>
      <c r="G9" s="29">
        <v>4</v>
      </c>
      <c r="H9" s="39">
        <f>INT(U9*LOOKUP(D9,全局!$B$9:$G$9,全局!$B$13:$G$13))</f>
        <v>18</v>
      </c>
      <c r="I9" s="39">
        <f>INT(V9*LOOKUP(D9,全局!$B$9:$G$9,全局!$B$14:$G$14))</f>
        <v>183</v>
      </c>
      <c r="J9" s="33">
        <f>VLOOKUP(S9,全局!$B$23:$D$27,2,FALSE)</f>
        <v>2</v>
      </c>
      <c r="K9" s="33">
        <f>VLOOKUP(T9,全局!$B$23:$D$27,3,FALSE)</f>
        <v>0.75</v>
      </c>
      <c r="L9" s="33">
        <f>2+LOOKUP(E9,攻击!A9:A17,攻击!Y9:Y17)+LOOKUP(F9,技能!A9:A17,技能!AB9:AB17)</f>
        <v>2</v>
      </c>
      <c r="M9" s="33" t="str">
        <f t="shared" si="0"/>
        <v>Hero_3002</v>
      </c>
      <c r="N9" s="33">
        <v>1</v>
      </c>
      <c r="O9" s="39">
        <v>65</v>
      </c>
      <c r="P9" s="35" t="s">
        <v>183</v>
      </c>
      <c r="Q9" s="12">
        <f>LOOKUP(E9,攻击!A9:A17,攻击!Z9:Z17)</f>
        <v>1</v>
      </c>
      <c r="R9" s="12">
        <f>LOOKUP(F9,技能!A9:A17,技能!AC9:AC17)</f>
        <v>2.0499999999999998</v>
      </c>
      <c r="S9" s="12" t="s">
        <v>195</v>
      </c>
      <c r="T9" s="12" t="s">
        <v>193</v>
      </c>
      <c r="U9" s="79">
        <v>0.3</v>
      </c>
      <c r="V9" s="63">
        <v>0.75</v>
      </c>
      <c r="W9" s="12">
        <f>Q9*R9*U9*V9*(K9/全局!$E$19)*LOOKUP(J9,全局!$C$23:$C$27,全局!$E$23:$E$27)*LOOKUP(G9,全局!$C$31:$L$31,全局!$C$32:$L$32)</f>
        <v>1.0793249999999999</v>
      </c>
    </row>
    <row r="10" spans="1:23">
      <c r="A10" s="32">
        <v>3003</v>
      </c>
      <c r="B10" s="39" t="s">
        <v>176</v>
      </c>
      <c r="C10" s="39">
        <v>3</v>
      </c>
      <c r="D10" s="39">
        <v>1</v>
      </c>
      <c r="E10" s="39">
        <f t="shared" si="1"/>
        <v>3003</v>
      </c>
      <c r="F10" s="39">
        <f t="shared" si="2"/>
        <v>3003</v>
      </c>
      <c r="G10" s="29">
        <v>3</v>
      </c>
      <c r="H10" s="39">
        <f>INT(U10*LOOKUP(D10,全局!$B$9:$G$9,全局!$B$13:$G$13))</f>
        <v>10</v>
      </c>
      <c r="I10" s="39">
        <f>INT(V10*LOOKUP(D10,全局!$B$9:$G$9,全局!$B$14:$G$14))</f>
        <v>80</v>
      </c>
      <c r="J10" s="33">
        <f>VLOOKUP(S10,全局!$B$23:$D$27,2,FALSE)</f>
        <v>1.5</v>
      </c>
      <c r="K10" s="33">
        <f>VLOOKUP(T10,全局!$B$23:$D$27,3,FALSE)</f>
        <v>1</v>
      </c>
      <c r="L10" s="33">
        <f>2+LOOKUP(E10,攻击!A10:A18,攻击!Y10:Y18)+LOOKUP(F10,技能!A10:A18,技能!AB10:AB18)</f>
        <v>2</v>
      </c>
      <c r="M10" s="33" t="str">
        <f t="shared" si="0"/>
        <v>Hero_3003</v>
      </c>
      <c r="N10" s="33">
        <v>1.25</v>
      </c>
      <c r="O10" s="39">
        <v>80</v>
      </c>
      <c r="P10" s="35" t="s">
        <v>179</v>
      </c>
      <c r="Q10" s="12">
        <f>LOOKUP(E10,攻击!A10:A18,攻击!Z10:Z18)</f>
        <v>1</v>
      </c>
      <c r="R10" s="12">
        <f>LOOKUP(F10,技能!A10:A18,技能!AC10:AC18)</f>
        <v>2</v>
      </c>
      <c r="S10" s="12" t="s">
        <v>193</v>
      </c>
      <c r="T10" s="12" t="s">
        <v>195</v>
      </c>
      <c r="U10" s="79">
        <v>0.4</v>
      </c>
      <c r="V10" s="63">
        <v>0.8</v>
      </c>
      <c r="W10" s="12">
        <f>Q10*R10*U10*V10*(K10/全局!$E$19)*LOOKUP(J10,全局!$C$23:$C$27,全局!$E$23:$E$27)*LOOKUP(G10,全局!$C$31:$L$31,全局!$C$32:$L$32)</f>
        <v>1.6896000000000004</v>
      </c>
    </row>
    <row r="11" spans="1:23" s="13" customForma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4" spans="1:23" s="10" customFormat="1">
      <c r="B14" s="11" t="s">
        <v>104</v>
      </c>
      <c r="C14" s="26" t="s">
        <v>31</v>
      </c>
      <c r="D14" s="24" t="s">
        <v>108</v>
      </c>
      <c r="E14" s="26" t="s">
        <v>56</v>
      </c>
      <c r="F14" s="83" t="s">
        <v>121</v>
      </c>
      <c r="G14" s="84"/>
      <c r="R14" s="60"/>
      <c r="W14" s="60"/>
    </row>
    <row r="15" spans="1:23" s="10" customFormat="1">
      <c r="C15" s="2" t="s">
        <v>32</v>
      </c>
      <c r="D15" s="23" t="s">
        <v>105</v>
      </c>
      <c r="E15" s="2">
        <v>1</v>
      </c>
      <c r="F15" s="85" t="s">
        <v>122</v>
      </c>
      <c r="G15" s="86"/>
      <c r="H15" s="12"/>
      <c r="R15" s="60"/>
      <c r="W15" s="60"/>
    </row>
    <row r="16" spans="1:23" s="10" customFormat="1">
      <c r="C16" s="2" t="s">
        <v>33</v>
      </c>
      <c r="D16" s="23" t="s">
        <v>106</v>
      </c>
      <c r="E16" s="2">
        <v>2</v>
      </c>
      <c r="F16" s="85" t="s">
        <v>123</v>
      </c>
      <c r="G16" s="86"/>
      <c r="H16" s="12"/>
      <c r="R16" s="60"/>
      <c r="W16" s="60"/>
    </row>
    <row r="17" spans="2:23" s="10" customFormat="1">
      <c r="C17" s="2" t="s">
        <v>34</v>
      </c>
      <c r="D17" s="23" t="s">
        <v>107</v>
      </c>
      <c r="E17" s="2">
        <v>3</v>
      </c>
      <c r="F17" s="85" t="s">
        <v>124</v>
      </c>
      <c r="G17" s="86"/>
      <c r="H17" s="12"/>
      <c r="R17" s="60"/>
      <c r="W17" s="60"/>
    </row>
    <row r="18" spans="2:23" s="10" customFormat="1">
      <c r="R18" s="60"/>
      <c r="W18" s="60"/>
    </row>
    <row r="19" spans="2:23" s="10" customFormat="1">
      <c r="B19" s="16" t="s">
        <v>120</v>
      </c>
      <c r="R19" s="60"/>
      <c r="W19" s="60"/>
    </row>
    <row r="20" spans="2:23" s="10" customFormat="1">
      <c r="R20" s="60"/>
      <c r="W20" s="60"/>
    </row>
    <row r="21" spans="2:23" s="10" customFormat="1">
      <c r="B21" s="16" t="s">
        <v>109</v>
      </c>
      <c r="R21" s="60"/>
      <c r="W21" s="60"/>
    </row>
    <row r="22" spans="2:23" s="10" customFormat="1">
      <c r="B22" s="16"/>
      <c r="R22" s="60"/>
      <c r="W22" s="60"/>
    </row>
    <row r="23" spans="2:23" s="10" customFormat="1">
      <c r="B23" s="16" t="s">
        <v>158</v>
      </c>
      <c r="R23" s="60"/>
      <c r="W23" s="60"/>
    </row>
    <row r="24" spans="2:23" s="10" customFormat="1">
      <c r="B24" s="16"/>
      <c r="R24" s="60"/>
      <c r="W24" s="60"/>
    </row>
    <row r="25" spans="2:23" s="10" customFormat="1">
      <c r="B25" s="40" t="s">
        <v>129</v>
      </c>
      <c r="R25" s="60"/>
      <c r="W25" s="60"/>
    </row>
    <row r="26" spans="2:23" s="10" customFormat="1">
      <c r="B26" s="16"/>
      <c r="R26" s="60"/>
      <c r="W26" s="60"/>
    </row>
    <row r="27" spans="2:23" s="10" customFormat="1">
      <c r="R27" s="60"/>
      <c r="W27" s="60"/>
    </row>
    <row r="28" spans="2:23" s="10" customFormat="1">
      <c r="B28" s="10" t="str">
        <f>"--------------以下字段不会出现在config表中--------------"</f>
        <v>--------------以下字段不会出现在config表中--------------</v>
      </c>
      <c r="R28" s="60"/>
      <c r="W28" s="60"/>
    </row>
    <row r="29" spans="2:23" s="10" customFormat="1">
      <c r="R29" s="60"/>
      <c r="W29" s="60"/>
    </row>
    <row r="30" spans="2:23" s="10" customFormat="1">
      <c r="R30" s="60"/>
      <c r="W30" s="60"/>
    </row>
    <row r="31" spans="2:23" s="10" customFormat="1">
      <c r="B31" s="41" t="s">
        <v>131</v>
      </c>
      <c r="R31" s="60"/>
      <c r="W31" s="60"/>
    </row>
    <row r="32" spans="2:23" s="10" customFormat="1">
      <c r="B32" s="41"/>
      <c r="R32" s="60"/>
      <c r="W32" s="60"/>
    </row>
    <row r="33" spans="2:23" s="10" customFormat="1">
      <c r="B33" s="41" t="s">
        <v>132</v>
      </c>
      <c r="R33" s="60"/>
      <c r="W33" s="60"/>
    </row>
    <row r="34" spans="2:23" s="10" customFormat="1">
      <c r="B34" s="41"/>
      <c r="R34" s="60"/>
      <c r="W34" s="60"/>
    </row>
    <row r="35" spans="2:23" s="10" customFormat="1">
      <c r="B35" s="41" t="s">
        <v>130</v>
      </c>
      <c r="R35" s="60"/>
      <c r="W35" s="60"/>
    </row>
    <row r="36" spans="2:23" s="10" customFormat="1">
      <c r="B36" s="41"/>
      <c r="R36" s="60"/>
      <c r="W36" s="60"/>
    </row>
    <row r="37" spans="2:23" s="10" customFormat="1">
      <c r="B37" s="41" t="s">
        <v>133</v>
      </c>
      <c r="R37" s="60"/>
      <c r="W37" s="60"/>
    </row>
  </sheetData>
  <mergeCells count="4"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T12" sqref="T12"/>
    </sheetView>
  </sheetViews>
  <sheetFormatPr defaultRowHeight="13.5"/>
  <cols>
    <col min="10" max="10" width="15" customWidth="1"/>
    <col min="11" max="11" width="9" style="1" customWidth="1"/>
    <col min="12" max="12" width="15" customWidth="1"/>
    <col min="13" max="13" width="9" style="1" customWidth="1"/>
    <col min="14" max="14" width="15" customWidth="1"/>
    <col min="15" max="15" width="9" style="1" customWidth="1"/>
    <col min="16" max="17" width="9" customWidth="1"/>
  </cols>
  <sheetData>
    <row r="1" spans="1:26" s="14" customFormat="1">
      <c r="A1" s="20" t="s">
        <v>126</v>
      </c>
      <c r="B1" s="21" t="s">
        <v>52</v>
      </c>
      <c r="C1" s="21" t="s">
        <v>111</v>
      </c>
      <c r="D1" s="21" t="s">
        <v>112</v>
      </c>
      <c r="E1" s="21" t="s">
        <v>185</v>
      </c>
      <c r="F1" s="21" t="s">
        <v>114</v>
      </c>
      <c r="G1" s="21" t="s">
        <v>135</v>
      </c>
      <c r="H1" s="21" t="s">
        <v>54</v>
      </c>
      <c r="I1" s="21" t="s">
        <v>118</v>
      </c>
      <c r="J1" s="21" t="s">
        <v>236</v>
      </c>
      <c r="K1" s="49" t="s">
        <v>242</v>
      </c>
      <c r="L1" s="49" t="s">
        <v>243</v>
      </c>
      <c r="M1" s="49" t="s">
        <v>239</v>
      </c>
      <c r="N1" s="49" t="s">
        <v>240</v>
      </c>
      <c r="O1" s="49" t="s">
        <v>244</v>
      </c>
      <c r="P1" s="49" t="s">
        <v>187</v>
      </c>
      <c r="Q1" s="69" t="s">
        <v>188</v>
      </c>
      <c r="R1" s="36" t="s">
        <v>230</v>
      </c>
      <c r="S1" s="36" t="s">
        <v>231</v>
      </c>
      <c r="T1" s="59" t="s">
        <v>232</v>
      </c>
      <c r="U1" s="21" t="s">
        <v>233</v>
      </c>
      <c r="V1" s="21" t="s">
        <v>234</v>
      </c>
      <c r="W1" s="42" t="s">
        <v>235</v>
      </c>
      <c r="X1" s="21" t="s">
        <v>163</v>
      </c>
      <c r="Y1" s="21" t="s">
        <v>162</v>
      </c>
      <c r="Z1" s="42" t="s">
        <v>251</v>
      </c>
    </row>
    <row r="2" spans="1:26">
      <c r="A2" s="38">
        <v>1001</v>
      </c>
      <c r="B2" s="39" t="str">
        <f>"普攻"&amp;A2</f>
        <v>普攻1001</v>
      </c>
      <c r="C2" s="39">
        <v>1</v>
      </c>
      <c r="D2" s="39">
        <v>1</v>
      </c>
      <c r="E2" s="39">
        <v>1</v>
      </c>
      <c r="F2" s="39">
        <v>1</v>
      </c>
      <c r="G2" s="44" t="str">
        <f>R2&amp;","&amp;S2&amp;","&amp;T2</f>
        <v>2,0,0</v>
      </c>
      <c r="J2" s="34" t="str">
        <f t="shared" ref="J2:J10" si="0">"Bullet_"&amp;A2&amp;"_1"</f>
        <v>Bullet_1001_1</v>
      </c>
      <c r="K2" s="77"/>
      <c r="L2" s="43" t="str">
        <f t="shared" ref="L2:L10" si="1">"Bullet_"&amp;A2&amp;"_2"</f>
        <v>Bullet_1001_2</v>
      </c>
      <c r="M2" s="77"/>
      <c r="N2" s="43" t="str">
        <f>"Bullet_"&amp;A2&amp;"_3"</f>
        <v>Bullet_1001_3</v>
      </c>
      <c r="O2" s="77"/>
      <c r="P2" s="43" t="str">
        <f t="shared" ref="P2:P10" si="2">"AttackVoiceIdle_"&amp;A2</f>
        <v>AttackVoiceIdle_1001</v>
      </c>
      <c r="Q2" s="70"/>
      <c r="R2" s="71">
        <v>2</v>
      </c>
      <c r="S2" s="71">
        <v>0</v>
      </c>
      <c r="T2" s="72">
        <v>0</v>
      </c>
      <c r="U2" s="71">
        <v>0</v>
      </c>
      <c r="V2" s="71">
        <v>0</v>
      </c>
      <c r="W2" s="72">
        <v>0</v>
      </c>
      <c r="Y2" s="75">
        <f>IF(X2="攻击力",1,0)+IF(X2="血量上限",1,0)</f>
        <v>0</v>
      </c>
      <c r="Z2" s="80">
        <f>1+R2/2</f>
        <v>2</v>
      </c>
    </row>
    <row r="3" spans="1:26">
      <c r="A3" s="38">
        <v>1002</v>
      </c>
      <c r="B3" s="39" t="str">
        <f t="shared" ref="B3:B10" si="3">"普攻"&amp;A3</f>
        <v>普攻1002</v>
      </c>
      <c r="C3" s="39">
        <v>1</v>
      </c>
      <c r="D3" s="39">
        <v>1</v>
      </c>
      <c r="E3" s="39">
        <v>1</v>
      </c>
      <c r="F3" s="39">
        <v>1</v>
      </c>
      <c r="G3" s="44" t="str">
        <f t="shared" ref="G3:G10" si="4">R3&amp;","&amp;S3&amp;","&amp;T3</f>
        <v>0,0,0</v>
      </c>
      <c r="J3" s="34" t="str">
        <f t="shared" si="0"/>
        <v>Bullet_1002_1</v>
      </c>
      <c r="K3" s="77"/>
      <c r="L3" s="43" t="str">
        <f t="shared" si="1"/>
        <v>Bullet_1002_2</v>
      </c>
      <c r="M3" s="77"/>
      <c r="N3" s="43" t="str">
        <f t="shared" ref="N3:N10" si="5">"Bullet_"&amp;A3&amp;"_3"</f>
        <v>Bullet_1002_3</v>
      </c>
      <c r="O3" s="77">
        <v>1</v>
      </c>
      <c r="P3" s="43" t="str">
        <f t="shared" si="2"/>
        <v>AttackVoiceIdle_1002</v>
      </c>
      <c r="Q3" s="70"/>
      <c r="R3" s="71">
        <v>0</v>
      </c>
      <c r="S3" s="71">
        <v>0</v>
      </c>
      <c r="T3" s="72">
        <v>0</v>
      </c>
      <c r="U3" s="71">
        <v>0</v>
      </c>
      <c r="V3" s="71">
        <v>0</v>
      </c>
      <c r="W3" s="72">
        <v>0</v>
      </c>
      <c r="Y3" s="75">
        <f t="shared" ref="Y3:Y10" si="6">IF(X3="攻击力",1,0)+IF(X3="血量上限",1,0)</f>
        <v>0</v>
      </c>
      <c r="Z3" s="80">
        <f t="shared" ref="Z3:Z10" si="7">1+R3/2</f>
        <v>1</v>
      </c>
    </row>
    <row r="4" spans="1:26">
      <c r="A4" s="38">
        <v>1003</v>
      </c>
      <c r="B4" s="39" t="str">
        <f t="shared" si="3"/>
        <v>普攻1003</v>
      </c>
      <c r="C4" s="39">
        <v>1</v>
      </c>
      <c r="D4" s="39">
        <v>1</v>
      </c>
      <c r="E4" s="39">
        <v>1</v>
      </c>
      <c r="F4" s="39">
        <v>1</v>
      </c>
      <c r="G4" s="44" t="str">
        <f t="shared" si="4"/>
        <v>0,0,0</v>
      </c>
      <c r="J4" s="34" t="str">
        <f t="shared" si="0"/>
        <v>Bullet_1003_1</v>
      </c>
      <c r="K4" s="77"/>
      <c r="L4" s="43" t="str">
        <f t="shared" si="1"/>
        <v>Bullet_1003_2</v>
      </c>
      <c r="M4" s="77"/>
      <c r="N4" s="43" t="str">
        <f t="shared" si="5"/>
        <v>Bullet_1003_3</v>
      </c>
      <c r="O4" s="77"/>
      <c r="P4" s="43" t="str">
        <f t="shared" si="2"/>
        <v>AttackVoiceIdle_1003</v>
      </c>
      <c r="Q4" s="70"/>
      <c r="R4" s="71">
        <v>0</v>
      </c>
      <c r="S4" s="71">
        <v>0</v>
      </c>
      <c r="T4" s="72">
        <v>0</v>
      </c>
      <c r="U4" s="71">
        <v>0</v>
      </c>
      <c r="V4" s="71">
        <v>0</v>
      </c>
      <c r="W4" s="72">
        <v>0</v>
      </c>
      <c r="Y4" s="75">
        <f t="shared" si="6"/>
        <v>0</v>
      </c>
      <c r="Z4" s="80">
        <f t="shared" si="7"/>
        <v>1</v>
      </c>
    </row>
    <row r="5" spans="1:26">
      <c r="A5" s="38">
        <v>2001</v>
      </c>
      <c r="B5" s="39" t="str">
        <f t="shared" si="3"/>
        <v>普攻2001</v>
      </c>
      <c r="C5" s="39">
        <v>1</v>
      </c>
      <c r="D5" s="39">
        <v>3</v>
      </c>
      <c r="E5" s="39">
        <v>1</v>
      </c>
      <c r="F5" s="39">
        <v>2</v>
      </c>
      <c r="G5" s="44" t="str">
        <f t="shared" si="4"/>
        <v>0,9,0</v>
      </c>
      <c r="J5" s="34" t="str">
        <f t="shared" si="0"/>
        <v>Bullet_2001_1</v>
      </c>
      <c r="K5" s="77">
        <v>6</v>
      </c>
      <c r="L5" s="43" t="str">
        <f t="shared" si="1"/>
        <v>Bullet_2001_2</v>
      </c>
      <c r="M5" s="77"/>
      <c r="N5" s="43" t="str">
        <f t="shared" si="5"/>
        <v>Bullet_2001_3</v>
      </c>
      <c r="O5" s="77">
        <v>6</v>
      </c>
      <c r="P5" s="43" t="str">
        <f t="shared" si="2"/>
        <v>AttackVoiceIdle_2001</v>
      </c>
      <c r="Q5" s="70" t="str">
        <f t="shared" ref="Q5:Q10" si="8">"AttackVoiceHurt_"&amp;A5</f>
        <v>AttackVoiceHurt_2001</v>
      </c>
      <c r="R5" s="71">
        <v>0</v>
      </c>
      <c r="S5" s="71">
        <v>9</v>
      </c>
      <c r="T5" s="72">
        <v>0</v>
      </c>
      <c r="U5" s="71">
        <v>0</v>
      </c>
      <c r="V5" s="71">
        <v>0</v>
      </c>
      <c r="W5" s="72">
        <v>0</v>
      </c>
      <c r="Y5" s="75">
        <f t="shared" si="6"/>
        <v>0</v>
      </c>
      <c r="Z5" s="80">
        <f t="shared" si="7"/>
        <v>1</v>
      </c>
    </row>
    <row r="6" spans="1:26">
      <c r="A6" s="38">
        <v>2002</v>
      </c>
      <c r="B6" s="39" t="str">
        <f t="shared" si="3"/>
        <v>普攻2002</v>
      </c>
      <c r="C6" s="39">
        <v>1</v>
      </c>
      <c r="D6" s="39">
        <v>3</v>
      </c>
      <c r="E6" s="39">
        <v>1</v>
      </c>
      <c r="F6" s="39">
        <v>2</v>
      </c>
      <c r="G6" s="44" t="str">
        <f t="shared" si="4"/>
        <v>0,6,0</v>
      </c>
      <c r="J6" s="34" t="str">
        <f t="shared" si="0"/>
        <v>Bullet_2002_1</v>
      </c>
      <c r="K6" s="77">
        <v>8</v>
      </c>
      <c r="L6" s="43" t="str">
        <f t="shared" si="1"/>
        <v>Bullet_2002_2</v>
      </c>
      <c r="M6" s="77"/>
      <c r="N6" s="43" t="str">
        <f t="shared" si="5"/>
        <v>Bullet_2002_3</v>
      </c>
      <c r="O6" s="77"/>
      <c r="P6" s="43" t="str">
        <f t="shared" si="2"/>
        <v>AttackVoiceIdle_2002</v>
      </c>
      <c r="Q6" s="70" t="str">
        <f t="shared" si="8"/>
        <v>AttackVoiceHurt_2002</v>
      </c>
      <c r="R6" s="71">
        <v>0</v>
      </c>
      <c r="S6" s="71">
        <v>6</v>
      </c>
      <c r="T6" s="72">
        <v>0</v>
      </c>
      <c r="U6" s="71">
        <v>0</v>
      </c>
      <c r="V6" s="71">
        <v>0</v>
      </c>
      <c r="W6" s="72">
        <v>0</v>
      </c>
      <c r="Y6" s="75">
        <f t="shared" si="6"/>
        <v>0</v>
      </c>
      <c r="Z6" s="80">
        <f t="shared" si="7"/>
        <v>1</v>
      </c>
    </row>
    <row r="7" spans="1:26">
      <c r="A7" s="38">
        <v>2003</v>
      </c>
      <c r="B7" s="39" t="str">
        <f t="shared" si="3"/>
        <v>普攻2003</v>
      </c>
      <c r="C7" s="39">
        <v>1</v>
      </c>
      <c r="D7" s="39">
        <v>3</v>
      </c>
      <c r="E7" s="39">
        <v>1</v>
      </c>
      <c r="F7" s="39">
        <v>2</v>
      </c>
      <c r="G7" s="44" t="str">
        <f t="shared" si="4"/>
        <v>0,7,0</v>
      </c>
      <c r="J7" s="34" t="str">
        <f t="shared" si="0"/>
        <v>Bullet_2003_1</v>
      </c>
      <c r="K7" s="76">
        <v>1</v>
      </c>
      <c r="L7" s="43" t="str">
        <f t="shared" si="1"/>
        <v>Bullet_2003_2</v>
      </c>
      <c r="M7" s="77"/>
      <c r="N7" s="43" t="str">
        <f t="shared" si="5"/>
        <v>Bullet_2003_3</v>
      </c>
      <c r="O7" s="77"/>
      <c r="P7" s="43" t="str">
        <f t="shared" si="2"/>
        <v>AttackVoiceIdle_2003</v>
      </c>
      <c r="Q7" s="70" t="str">
        <f t="shared" si="8"/>
        <v>AttackVoiceHurt_2003</v>
      </c>
      <c r="R7" s="71">
        <v>0</v>
      </c>
      <c r="S7" s="71">
        <v>7</v>
      </c>
      <c r="T7" s="72">
        <v>0</v>
      </c>
      <c r="U7" s="71">
        <v>0</v>
      </c>
      <c r="V7" s="71">
        <v>0</v>
      </c>
      <c r="W7" s="72">
        <v>0</v>
      </c>
      <c r="Y7" s="75">
        <f t="shared" si="6"/>
        <v>0</v>
      </c>
      <c r="Z7" s="80">
        <f t="shared" si="7"/>
        <v>1</v>
      </c>
    </row>
    <row r="8" spans="1:26">
      <c r="A8" s="38">
        <v>3001</v>
      </c>
      <c r="B8" s="39" t="str">
        <f t="shared" si="3"/>
        <v>普攻3001</v>
      </c>
      <c r="C8" s="39">
        <v>1</v>
      </c>
      <c r="D8" s="39">
        <v>2</v>
      </c>
      <c r="E8" s="39">
        <v>1</v>
      </c>
      <c r="F8" s="39">
        <v>8</v>
      </c>
      <c r="G8" s="44" t="str">
        <f t="shared" si="4"/>
        <v>0,1,0</v>
      </c>
      <c r="J8" s="34" t="str">
        <f t="shared" si="0"/>
        <v>Bullet_3001_1</v>
      </c>
      <c r="K8" s="76">
        <v>10</v>
      </c>
      <c r="L8" s="43" t="str">
        <f t="shared" si="1"/>
        <v>Bullet_3001_2</v>
      </c>
      <c r="M8" s="77"/>
      <c r="N8" s="43" t="str">
        <f t="shared" si="5"/>
        <v>Bullet_3001_3</v>
      </c>
      <c r="O8" s="77"/>
      <c r="P8" s="43" t="str">
        <f t="shared" si="2"/>
        <v>AttackVoiceIdle_3001</v>
      </c>
      <c r="Q8" s="70" t="str">
        <f t="shared" si="8"/>
        <v>AttackVoiceHurt_3001</v>
      </c>
      <c r="R8" s="71">
        <v>0</v>
      </c>
      <c r="S8" s="71">
        <v>1</v>
      </c>
      <c r="T8" s="72">
        <v>0</v>
      </c>
      <c r="U8" s="71">
        <v>0</v>
      </c>
      <c r="V8" s="71">
        <v>0</v>
      </c>
      <c r="W8" s="72">
        <v>0</v>
      </c>
      <c r="Y8" s="75">
        <f t="shared" si="6"/>
        <v>0</v>
      </c>
      <c r="Z8" s="80">
        <f t="shared" si="7"/>
        <v>1</v>
      </c>
    </row>
    <row r="9" spans="1:26">
      <c r="A9" s="38">
        <v>3002</v>
      </c>
      <c r="B9" s="39" t="str">
        <f t="shared" si="3"/>
        <v>普攻3002</v>
      </c>
      <c r="C9" s="39">
        <v>1</v>
      </c>
      <c r="D9" s="39">
        <v>2</v>
      </c>
      <c r="E9" s="39">
        <v>1</v>
      </c>
      <c r="F9" s="39">
        <v>2</v>
      </c>
      <c r="G9" s="44" t="str">
        <f t="shared" si="4"/>
        <v>0,7,0</v>
      </c>
      <c r="J9" s="34" t="str">
        <f t="shared" si="0"/>
        <v>Bullet_3002_1</v>
      </c>
      <c r="K9" s="76">
        <v>5</v>
      </c>
      <c r="L9" s="43" t="str">
        <f t="shared" si="1"/>
        <v>Bullet_3002_2</v>
      </c>
      <c r="M9" s="77"/>
      <c r="N9" s="43" t="str">
        <f t="shared" si="5"/>
        <v>Bullet_3002_3</v>
      </c>
      <c r="O9" s="77"/>
      <c r="P9" s="43" t="str">
        <f t="shared" si="2"/>
        <v>AttackVoiceIdle_3002</v>
      </c>
      <c r="Q9" s="70" t="str">
        <f t="shared" si="8"/>
        <v>AttackVoiceHurt_3002</v>
      </c>
      <c r="R9" s="71">
        <v>0</v>
      </c>
      <c r="S9" s="71">
        <v>7</v>
      </c>
      <c r="T9" s="72">
        <v>0</v>
      </c>
      <c r="U9" s="71">
        <v>0</v>
      </c>
      <c r="V9" s="71">
        <v>0</v>
      </c>
      <c r="W9" s="72">
        <v>0</v>
      </c>
      <c r="Y9" s="75">
        <f t="shared" si="6"/>
        <v>0</v>
      </c>
      <c r="Z9" s="80">
        <f t="shared" si="7"/>
        <v>1</v>
      </c>
    </row>
    <row r="10" spans="1:26">
      <c r="A10" s="38">
        <v>3003</v>
      </c>
      <c r="B10" s="39" t="str">
        <f t="shared" si="3"/>
        <v>普攻3003</v>
      </c>
      <c r="C10" s="39">
        <v>1</v>
      </c>
      <c r="D10" s="39">
        <v>2</v>
      </c>
      <c r="E10" s="39">
        <v>1</v>
      </c>
      <c r="F10" s="39">
        <v>2</v>
      </c>
      <c r="G10" s="44" t="str">
        <f t="shared" si="4"/>
        <v>0,8,0</v>
      </c>
      <c r="J10" s="34" t="str">
        <f t="shared" si="0"/>
        <v>Bullet_3003_1</v>
      </c>
      <c r="K10" s="76">
        <v>1</v>
      </c>
      <c r="L10" s="43" t="str">
        <f t="shared" si="1"/>
        <v>Bullet_3003_2</v>
      </c>
      <c r="M10" s="77">
        <v>9</v>
      </c>
      <c r="N10" s="43" t="str">
        <f t="shared" si="5"/>
        <v>Bullet_3003_3</v>
      </c>
      <c r="O10" s="76"/>
      <c r="P10" s="43" t="str">
        <f t="shared" si="2"/>
        <v>AttackVoiceIdle_3003</v>
      </c>
      <c r="Q10" s="70" t="str">
        <f t="shared" si="8"/>
        <v>AttackVoiceHurt_3003</v>
      </c>
      <c r="R10" s="71">
        <v>0</v>
      </c>
      <c r="S10" s="71">
        <v>8</v>
      </c>
      <c r="T10" s="72">
        <v>0</v>
      </c>
      <c r="U10" s="71">
        <v>0</v>
      </c>
      <c r="V10" s="71">
        <v>0</v>
      </c>
      <c r="W10" s="72">
        <v>0</v>
      </c>
      <c r="Y10" s="75">
        <f t="shared" si="6"/>
        <v>0</v>
      </c>
      <c r="Z10" s="80">
        <f t="shared" si="7"/>
        <v>1</v>
      </c>
    </row>
    <row r="15" spans="1:26">
      <c r="B15" s="16" t="s">
        <v>113</v>
      </c>
    </row>
    <row r="16" spans="1:26">
      <c r="B16" s="16"/>
    </row>
    <row r="17" spans="2:2">
      <c r="B17" s="16" t="s">
        <v>159</v>
      </c>
    </row>
    <row r="18" spans="2:2">
      <c r="B18" s="16"/>
    </row>
    <row r="19" spans="2:2">
      <c r="B19" s="16" t="s">
        <v>186</v>
      </c>
    </row>
    <row r="20" spans="2:2">
      <c r="B20" s="16"/>
    </row>
    <row r="21" spans="2:2">
      <c r="B21" s="16" t="s">
        <v>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2" width="15" style="51" hidden="1" customWidth="1"/>
    <col min="13" max="13" width="9" style="51" hidden="1" customWidth="1"/>
    <col min="14" max="14" width="15" style="51" hidden="1" customWidth="1"/>
    <col min="15" max="15" width="9" style="51" hidden="1" customWidth="1"/>
    <col min="16" max="16" width="15" style="51" hidden="1" customWidth="1"/>
    <col min="17" max="19" width="9" style="51" hidden="1" customWidth="1"/>
    <col min="20" max="20" width="9" style="61"/>
    <col min="21" max="23" width="9" style="19"/>
    <col min="24" max="28" width="9" style="1"/>
    <col min="29" max="29" width="9" style="12"/>
  </cols>
  <sheetData>
    <row r="1" spans="1:30" s="14" customFormat="1">
      <c r="A1" s="20" t="s">
        <v>17</v>
      </c>
      <c r="B1" s="21" t="s">
        <v>53</v>
      </c>
      <c r="C1" s="21" t="s">
        <v>111</v>
      </c>
      <c r="D1" s="21" t="s">
        <v>112</v>
      </c>
      <c r="E1" s="21" t="s">
        <v>86</v>
      </c>
      <c r="F1" s="21" t="s">
        <v>100</v>
      </c>
      <c r="G1" s="21" t="s">
        <v>185</v>
      </c>
      <c r="H1" s="21" t="s">
        <v>114</v>
      </c>
      <c r="I1" s="21" t="s">
        <v>135</v>
      </c>
      <c r="J1" s="21" t="s">
        <v>184</v>
      </c>
      <c r="K1" s="21" t="s">
        <v>118</v>
      </c>
      <c r="L1" s="49" t="s">
        <v>236</v>
      </c>
      <c r="M1" s="49" t="s">
        <v>238</v>
      </c>
      <c r="N1" s="49" t="s">
        <v>237</v>
      </c>
      <c r="O1" s="49" t="s">
        <v>239</v>
      </c>
      <c r="P1" s="49" t="s">
        <v>240</v>
      </c>
      <c r="Q1" s="49" t="s">
        <v>241</v>
      </c>
      <c r="R1" s="49" t="s">
        <v>187</v>
      </c>
      <c r="S1" s="49" t="s">
        <v>188</v>
      </c>
      <c r="T1" s="62" t="s">
        <v>85</v>
      </c>
      <c r="U1" s="36" t="s">
        <v>230</v>
      </c>
      <c r="V1" s="36" t="s">
        <v>231</v>
      </c>
      <c r="W1" s="36" t="s">
        <v>232</v>
      </c>
      <c r="X1" s="20" t="s">
        <v>233</v>
      </c>
      <c r="Y1" s="21" t="s">
        <v>234</v>
      </c>
      <c r="Z1" s="42" t="s">
        <v>235</v>
      </c>
      <c r="AA1" s="21" t="s">
        <v>163</v>
      </c>
      <c r="AB1" s="21" t="s">
        <v>162</v>
      </c>
      <c r="AC1" s="53" t="s">
        <v>27</v>
      </c>
      <c r="AD1" s="14" t="s">
        <v>252</v>
      </c>
    </row>
    <row r="2" spans="1:30" s="67" customFormat="1">
      <c r="A2" s="38">
        <v>1001</v>
      </c>
      <c r="B2" s="39" t="s">
        <v>23</v>
      </c>
      <c r="C2" s="39">
        <v>2</v>
      </c>
      <c r="D2" s="39">
        <v>3</v>
      </c>
      <c r="E2" s="44"/>
      <c r="F2" s="39">
        <v>15</v>
      </c>
      <c r="G2" s="39">
        <v>2</v>
      </c>
      <c r="H2" s="39">
        <v>3</v>
      </c>
      <c r="I2" s="44" t="str">
        <f>U2&amp;","&amp;V2&amp;","&amp;W2</f>
        <v>3,0,0</v>
      </c>
      <c r="J2" s="39">
        <v>3</v>
      </c>
      <c r="K2" s="64" t="str">
        <f>X2&amp;","&amp;Y2&amp;","&amp;Z2</f>
        <v>5,0.5,0</v>
      </c>
      <c r="L2" s="44" t="str">
        <f t="shared" ref="L2:L10" si="0">"ASkill_"&amp;A2&amp;"_1"</f>
        <v>ASkill_1001_1</v>
      </c>
      <c r="M2" s="76"/>
      <c r="N2" s="44" t="str">
        <f t="shared" ref="N2:N10" si="1">"ASkill_"&amp;A2&amp;"_2"</f>
        <v>ASkill_1001_2</v>
      </c>
      <c r="O2" s="76">
        <v>8</v>
      </c>
      <c r="P2" s="44" t="str">
        <f t="shared" ref="P2:P10" si="2">"ASkill_"&amp;A2&amp;"_3"</f>
        <v>ASkill_1001_3</v>
      </c>
      <c r="Q2" s="76">
        <v>1</v>
      </c>
      <c r="R2" s="44" t="str">
        <f t="shared" ref="R2:R10" si="3">"ASkillVoiceRun_"&amp;A2</f>
        <v>ASkillVoiceRun_1001</v>
      </c>
      <c r="S2" s="44"/>
      <c r="T2" s="65" t="str">
        <f>"使周围的友军获得一个能吸收"&amp;Y2*100&amp;"%伤害的护盾,持续"&amp;X2&amp;"秒"</f>
        <v>使周围的友军获得一个能吸收50%伤害的护盾,持续5秒</v>
      </c>
      <c r="U2" s="63">
        <v>3</v>
      </c>
      <c r="V2" s="63">
        <v>0</v>
      </c>
      <c r="W2" s="63">
        <v>0</v>
      </c>
      <c r="X2" s="73">
        <v>5</v>
      </c>
      <c r="Y2" s="63">
        <v>0.5</v>
      </c>
      <c r="Z2" s="74">
        <v>0</v>
      </c>
      <c r="AA2" s="66"/>
      <c r="AB2" s="75">
        <f>IF(AA2="攻击力",1,0)+IF(AA2="血量上限",1,0)</f>
        <v>0</v>
      </c>
      <c r="AC2" s="63">
        <f>(1+U2/2)/(1-Y2*IF(X2&gt;F2,F2,X2)/F2)</f>
        <v>3</v>
      </c>
      <c r="AD2" s="67">
        <f>兵种!K2</f>
        <v>0.5</v>
      </c>
    </row>
    <row r="3" spans="1:30" s="67" customFormat="1">
      <c r="A3" s="38">
        <v>1002</v>
      </c>
      <c r="B3" s="39" t="s">
        <v>25</v>
      </c>
      <c r="C3" s="39">
        <v>2</v>
      </c>
      <c r="D3" s="39">
        <v>1</v>
      </c>
      <c r="E3" s="44"/>
      <c r="F3" s="39">
        <v>10</v>
      </c>
      <c r="G3" s="39">
        <v>1</v>
      </c>
      <c r="H3" s="39">
        <v>1</v>
      </c>
      <c r="I3" s="44" t="str">
        <f t="shared" ref="I3:I10" si="4">U3&amp;","&amp;V3&amp;","&amp;W3</f>
        <v>0,0,0</v>
      </c>
      <c r="J3" s="39">
        <v>3</v>
      </c>
      <c r="K3" s="64" t="str">
        <f>X3&amp;","&amp;Y3&amp;","&amp;Z3</f>
        <v>5,1,0</v>
      </c>
      <c r="L3" s="44" t="str">
        <f t="shared" si="0"/>
        <v>ASkill_1002_1</v>
      </c>
      <c r="M3" s="76"/>
      <c r="N3" s="44" t="str">
        <f t="shared" si="1"/>
        <v>ASkill_1002_2</v>
      </c>
      <c r="O3" s="76"/>
      <c r="P3" s="44" t="str">
        <f t="shared" si="2"/>
        <v>ASkill_1002_3</v>
      </c>
      <c r="Q3" s="76">
        <v>1</v>
      </c>
      <c r="R3" s="44" t="str">
        <f t="shared" si="3"/>
        <v>ASkillVoiceRun_1002</v>
      </c>
      <c r="S3" s="44"/>
      <c r="T3" s="65" t="str">
        <f>"自身不会受到伤害,持续"&amp;X3&amp;"秒"</f>
        <v>自身不会受到伤害,持续5秒</v>
      </c>
      <c r="U3" s="63">
        <v>0</v>
      </c>
      <c r="V3" s="63">
        <v>0</v>
      </c>
      <c r="W3" s="63">
        <v>0</v>
      </c>
      <c r="X3" s="73">
        <v>5</v>
      </c>
      <c r="Y3" s="63">
        <v>1</v>
      </c>
      <c r="Z3" s="74">
        <v>0</v>
      </c>
      <c r="AA3" s="66"/>
      <c r="AB3" s="75">
        <f t="shared" ref="AB3:AB10" si="5">IF(AA3="攻击力",1,0)+IF(AA3="血量上限",1,0)</f>
        <v>0</v>
      </c>
      <c r="AC3" s="63">
        <f>1/(1-IF(X3&gt;F3,F3,X3)/F3)</f>
        <v>2</v>
      </c>
      <c r="AD3" s="67">
        <f>兵种!K3</f>
        <v>0.5</v>
      </c>
    </row>
    <row r="4" spans="1:30" s="67" customFormat="1">
      <c r="A4" s="38">
        <v>1003</v>
      </c>
      <c r="B4" s="39" t="s">
        <v>196</v>
      </c>
      <c r="C4" s="39">
        <v>1</v>
      </c>
      <c r="D4" s="39">
        <v>1</v>
      </c>
      <c r="E4" s="44">
        <v>6</v>
      </c>
      <c r="F4" s="44">
        <v>10</v>
      </c>
      <c r="G4" s="44">
        <v>1</v>
      </c>
      <c r="H4" s="44">
        <v>1</v>
      </c>
      <c r="I4" s="44" t="str">
        <f t="shared" si="4"/>
        <v>0,0,0</v>
      </c>
      <c r="J4" s="39"/>
      <c r="K4" s="64" t="str">
        <f t="shared" ref="K4:K10" si="6">X4&amp;","&amp;Y4&amp;","&amp;Z4</f>
        <v>0,0,0</v>
      </c>
      <c r="L4" s="44" t="str">
        <f t="shared" si="0"/>
        <v>ASkill_1003_1</v>
      </c>
      <c r="M4" s="76"/>
      <c r="N4" s="44" t="str">
        <f t="shared" si="1"/>
        <v>ASkill_1003_2</v>
      </c>
      <c r="O4" s="76">
        <v>5</v>
      </c>
      <c r="P4" s="44" t="str">
        <f t="shared" si="2"/>
        <v>ASkill_1003_3</v>
      </c>
      <c r="Q4" s="76"/>
      <c r="R4" s="44" t="str">
        <f t="shared" si="3"/>
        <v>ASkillVoiceRun_1003</v>
      </c>
      <c r="S4" s="44"/>
      <c r="T4" s="65" t="str">
        <f>"对单个目标造成 攻击力*"&amp;E4*100&amp;"% 的伤害,冷却时间"&amp;F4&amp;"秒"</f>
        <v>对单个目标造成 攻击力*600% 的伤害,冷却时间10秒</v>
      </c>
      <c r="U4" s="63">
        <v>0</v>
      </c>
      <c r="V4" s="63">
        <v>0</v>
      </c>
      <c r="W4" s="63">
        <v>0</v>
      </c>
      <c r="X4" s="73">
        <v>0</v>
      </c>
      <c r="Y4" s="63">
        <v>0</v>
      </c>
      <c r="Z4" s="74">
        <v>0</v>
      </c>
      <c r="AA4" s="66"/>
      <c r="AB4" s="75">
        <f t="shared" si="5"/>
        <v>0</v>
      </c>
      <c r="AC4" s="63">
        <f>1+E4/F4/AD4</f>
        <v>1.7999999999999998</v>
      </c>
      <c r="AD4" s="67">
        <f>兵种!K4</f>
        <v>0.75</v>
      </c>
    </row>
    <row r="5" spans="1:30" s="67" customFormat="1">
      <c r="A5" s="38">
        <v>2001</v>
      </c>
      <c r="B5" s="39" t="s">
        <v>21</v>
      </c>
      <c r="C5" s="39">
        <v>1</v>
      </c>
      <c r="D5" s="39">
        <v>3</v>
      </c>
      <c r="E5" s="44">
        <v>2</v>
      </c>
      <c r="F5" s="39">
        <v>10</v>
      </c>
      <c r="G5" s="39">
        <v>1</v>
      </c>
      <c r="H5" s="39">
        <v>1</v>
      </c>
      <c r="I5" s="44" t="str">
        <f t="shared" si="4"/>
        <v>2,0,0</v>
      </c>
      <c r="J5" s="64"/>
      <c r="K5" s="64" t="str">
        <f t="shared" si="6"/>
        <v>0,0,0</v>
      </c>
      <c r="L5" s="44" t="str">
        <f t="shared" si="0"/>
        <v>ASkill_2001_1</v>
      </c>
      <c r="M5" s="76"/>
      <c r="N5" s="44" t="str">
        <f t="shared" si="1"/>
        <v>ASkill_2001_2</v>
      </c>
      <c r="O5" s="76">
        <v>13</v>
      </c>
      <c r="P5" s="44" t="str">
        <f t="shared" si="2"/>
        <v>ASkill_2001_3</v>
      </c>
      <c r="Q5" s="76"/>
      <c r="R5" s="44" t="str">
        <f t="shared" si="3"/>
        <v>ASkillVoiceRun_2001</v>
      </c>
      <c r="S5" s="44"/>
      <c r="T5" s="65" t="str">
        <f>"对目标及周围的所有敌人造成 攻击力*"&amp;E5*100&amp;"% 的伤害,冷却时间"&amp;F5&amp;"秒"</f>
        <v>对目标及周围的所有敌人造成 攻击力*200% 的伤害,冷却时间10秒</v>
      </c>
      <c r="U5" s="63">
        <v>2</v>
      </c>
      <c r="V5" s="63">
        <v>0</v>
      </c>
      <c r="W5" s="63">
        <v>0</v>
      </c>
      <c r="X5" s="73">
        <v>0</v>
      </c>
      <c r="Y5" s="63">
        <v>0</v>
      </c>
      <c r="Z5" s="74">
        <v>0</v>
      </c>
      <c r="AA5" s="66" t="s">
        <v>164</v>
      </c>
      <c r="AB5" s="75">
        <f t="shared" si="5"/>
        <v>0</v>
      </c>
      <c r="AC5" s="63">
        <f>1+(1+U5/2)*E5/F5/AD5</f>
        <v>2.6</v>
      </c>
      <c r="AD5" s="67">
        <f>兵种!K5</f>
        <v>0.25</v>
      </c>
    </row>
    <row r="6" spans="1:30" s="67" customFormat="1">
      <c r="A6" s="38">
        <v>2002</v>
      </c>
      <c r="B6" s="39" t="s">
        <v>20</v>
      </c>
      <c r="C6" s="39">
        <v>1</v>
      </c>
      <c r="D6" s="39">
        <v>3</v>
      </c>
      <c r="E6" s="44">
        <v>6</v>
      </c>
      <c r="F6" s="39">
        <v>10</v>
      </c>
      <c r="G6" s="39">
        <v>1</v>
      </c>
      <c r="H6" s="39">
        <v>1</v>
      </c>
      <c r="I6" s="44" t="str">
        <f t="shared" si="4"/>
        <v>0,0,0</v>
      </c>
      <c r="J6" s="64"/>
      <c r="K6" s="64" t="str">
        <f t="shared" si="6"/>
        <v>0,0,0</v>
      </c>
      <c r="L6" s="44" t="str">
        <f t="shared" si="0"/>
        <v>ASkill_2002_1</v>
      </c>
      <c r="M6" s="76">
        <v>6</v>
      </c>
      <c r="N6" s="44" t="str">
        <f t="shared" si="1"/>
        <v>ASkill_2002_2</v>
      </c>
      <c r="O6" s="76">
        <v>9</v>
      </c>
      <c r="P6" s="44" t="str">
        <f t="shared" si="2"/>
        <v>ASkill_2002_3</v>
      </c>
      <c r="Q6" s="76"/>
      <c r="R6" s="44" t="str">
        <f t="shared" si="3"/>
        <v>ASkillVoiceRun_2002</v>
      </c>
      <c r="S6" s="44"/>
      <c r="T6" s="65" t="str">
        <f>"对单个目标造成 攻击力*"&amp;E6*100&amp;"% 的伤害,冷却时间"&amp;F6&amp;"秒"</f>
        <v>对单个目标造成 攻击力*600% 的伤害,冷却时间10秒</v>
      </c>
      <c r="U6" s="63">
        <v>0</v>
      </c>
      <c r="V6" s="63">
        <v>0</v>
      </c>
      <c r="W6" s="63">
        <v>0</v>
      </c>
      <c r="X6" s="73">
        <v>0</v>
      </c>
      <c r="Y6" s="63">
        <v>0</v>
      </c>
      <c r="Z6" s="74">
        <v>0</v>
      </c>
      <c r="AA6" s="66" t="s">
        <v>164</v>
      </c>
      <c r="AB6" s="75">
        <f t="shared" si="5"/>
        <v>0</v>
      </c>
      <c r="AC6" s="63">
        <f>1+E6/F6/AD6</f>
        <v>1.7999999999999998</v>
      </c>
      <c r="AD6" s="67">
        <f>兵种!K6</f>
        <v>0.75</v>
      </c>
    </row>
    <row r="7" spans="1:30" s="67" customFormat="1">
      <c r="A7" s="38">
        <v>2003</v>
      </c>
      <c r="B7" s="39" t="s">
        <v>197</v>
      </c>
      <c r="C7" s="39">
        <v>1</v>
      </c>
      <c r="D7" s="39">
        <v>1</v>
      </c>
      <c r="E7" s="44">
        <v>2.5</v>
      </c>
      <c r="F7" s="44">
        <v>15</v>
      </c>
      <c r="G7" s="44">
        <v>1</v>
      </c>
      <c r="H7" s="44">
        <v>4</v>
      </c>
      <c r="I7" s="44" t="str">
        <f t="shared" si="4"/>
        <v>0,6,4</v>
      </c>
      <c r="J7" s="64"/>
      <c r="K7" s="64" t="str">
        <f t="shared" si="6"/>
        <v>0,0,0</v>
      </c>
      <c r="L7" s="44" t="str">
        <f t="shared" si="0"/>
        <v>ASkill_2003_1</v>
      </c>
      <c r="M7" s="76">
        <v>1</v>
      </c>
      <c r="N7" s="44" t="str">
        <f t="shared" si="1"/>
        <v>ASkill_2003_2</v>
      </c>
      <c r="O7" s="76"/>
      <c r="P7" s="44" t="str">
        <f t="shared" si="2"/>
        <v>ASkill_2003_3</v>
      </c>
      <c r="Q7" s="76"/>
      <c r="R7" s="44" t="str">
        <f t="shared" si="3"/>
        <v>ASkillVoiceRun_2003</v>
      </c>
      <c r="S7" s="44" t="str">
        <f t="shared" ref="S7:S10" si="7">"SkillVoiceHurt_"&amp;A7</f>
        <v>SkillVoiceHurt_2003</v>
      </c>
      <c r="T7" s="65" t="str">
        <f>"扔出一个大手里剑,对碰到的所有敌人造成"&amp;E7*100&amp;"%的伤害"</f>
        <v>扔出一个大手里剑,对碰到的所有敌人造成250%的伤害</v>
      </c>
      <c r="U7" s="63">
        <v>0</v>
      </c>
      <c r="V7" s="63">
        <v>6</v>
      </c>
      <c r="W7" s="63">
        <v>4</v>
      </c>
      <c r="X7" s="73">
        <v>0</v>
      </c>
      <c r="Y7" s="63">
        <v>0</v>
      </c>
      <c r="Z7" s="74">
        <v>0</v>
      </c>
      <c r="AA7" s="66"/>
      <c r="AB7" s="75">
        <f t="shared" si="5"/>
        <v>0</v>
      </c>
      <c r="AC7" s="63">
        <f>1+(1+W7/2)*E7/F7/AD7</f>
        <v>2</v>
      </c>
      <c r="AD7" s="67">
        <f>兵种!K7</f>
        <v>0.5</v>
      </c>
    </row>
    <row r="8" spans="1:30" s="67" customFormat="1">
      <c r="A8" s="38">
        <v>3001</v>
      </c>
      <c r="B8" s="39" t="s">
        <v>22</v>
      </c>
      <c r="C8" s="39">
        <v>1</v>
      </c>
      <c r="D8" s="39">
        <v>2</v>
      </c>
      <c r="E8" s="44">
        <v>4</v>
      </c>
      <c r="F8" s="39">
        <v>10</v>
      </c>
      <c r="G8" s="39">
        <v>3</v>
      </c>
      <c r="H8" s="39">
        <v>8</v>
      </c>
      <c r="I8" s="44" t="str">
        <f t="shared" si="4"/>
        <v>0,1.5,0</v>
      </c>
      <c r="J8" s="39">
        <v>2</v>
      </c>
      <c r="K8" s="64" t="str">
        <f t="shared" si="6"/>
        <v>2,-10,-10</v>
      </c>
      <c r="L8" s="44" t="str">
        <f t="shared" si="0"/>
        <v>ASkill_3001_1</v>
      </c>
      <c r="M8" s="76">
        <v>10</v>
      </c>
      <c r="N8" s="44" t="str">
        <f t="shared" si="1"/>
        <v>ASkill_3001_2</v>
      </c>
      <c r="O8" s="76">
        <v>1</v>
      </c>
      <c r="P8" s="44" t="str">
        <f t="shared" si="2"/>
        <v>ASkill_3001_3</v>
      </c>
      <c r="Q8" s="76">
        <v>1</v>
      </c>
      <c r="R8" s="44" t="str">
        <f t="shared" si="3"/>
        <v>ASkillVoiceRun_3001</v>
      </c>
      <c r="S8" s="44"/>
      <c r="T8" s="65" t="str">
        <f>"对目标造成 攻击力*"&amp;E8*100&amp;"% 的伤害,并冻结"&amp;X8&amp;"秒,冷却时间"&amp;F8&amp;"秒"</f>
        <v>对目标造成 攻击力*400% 的伤害,并冻结2秒,冷却时间10秒</v>
      </c>
      <c r="U8" s="63">
        <v>0</v>
      </c>
      <c r="V8" s="63">
        <v>1.5</v>
      </c>
      <c r="W8" s="63">
        <v>0</v>
      </c>
      <c r="X8" s="73">
        <v>2</v>
      </c>
      <c r="Y8" s="63">
        <v>-10</v>
      </c>
      <c r="Z8" s="74">
        <v>-10</v>
      </c>
      <c r="AA8" s="66" t="s">
        <v>164</v>
      </c>
      <c r="AB8" s="75">
        <f t="shared" si="5"/>
        <v>0</v>
      </c>
      <c r="AC8" s="63">
        <f>(1+E8/F8/AD8)*(1+X8/F8)</f>
        <v>2.16</v>
      </c>
      <c r="AD8" s="67">
        <f>兵种!K8</f>
        <v>0.5</v>
      </c>
    </row>
    <row r="9" spans="1:30" s="67" customFormat="1">
      <c r="A9" s="38">
        <v>3002</v>
      </c>
      <c r="B9" s="39" t="s">
        <v>24</v>
      </c>
      <c r="C9" s="39">
        <v>2</v>
      </c>
      <c r="D9" s="39">
        <v>3</v>
      </c>
      <c r="E9" s="44"/>
      <c r="F9" s="39">
        <v>20</v>
      </c>
      <c r="G9" s="39">
        <v>5</v>
      </c>
      <c r="H9" s="39">
        <v>3</v>
      </c>
      <c r="I9" s="44" t="str">
        <f t="shared" si="4"/>
        <v>4,0,0</v>
      </c>
      <c r="J9" s="39">
        <v>2</v>
      </c>
      <c r="K9" s="64" t="str">
        <f t="shared" si="6"/>
        <v>5,2,2</v>
      </c>
      <c r="L9" s="44" t="str">
        <f t="shared" si="0"/>
        <v>ASkill_3002_1</v>
      </c>
      <c r="M9" s="76"/>
      <c r="N9" s="44" t="str">
        <f t="shared" si="1"/>
        <v>ASkill_3002_2</v>
      </c>
      <c r="O9" s="76">
        <v>4</v>
      </c>
      <c r="P9" s="44" t="str">
        <f t="shared" si="2"/>
        <v>ASkill_3002_3</v>
      </c>
      <c r="Q9" s="76">
        <v>4</v>
      </c>
      <c r="R9" s="44" t="str">
        <f t="shared" si="3"/>
        <v>ASkillVoiceRun_3002</v>
      </c>
      <c r="S9" s="44"/>
      <c r="T9" s="65" t="str">
        <f>"使周围的友军移动速度提升至"&amp;Y9*100&amp;"%,攻击速度提升至"&amp;Z9*100&amp;"%,持续"&amp;X9&amp;"秒"</f>
        <v>使周围的友军移动速度提升至200%,攻击速度提升至200%,持续5秒</v>
      </c>
      <c r="U9" s="63">
        <v>4</v>
      </c>
      <c r="V9" s="63">
        <v>0</v>
      </c>
      <c r="W9" s="63">
        <v>0</v>
      </c>
      <c r="X9" s="73">
        <v>5</v>
      </c>
      <c r="Y9" s="63">
        <v>2</v>
      </c>
      <c r="Z9" s="74">
        <v>2</v>
      </c>
      <c r="AA9" s="68"/>
      <c r="AB9" s="75">
        <f t="shared" si="5"/>
        <v>0</v>
      </c>
      <c r="AC9" s="63">
        <f>1+(1+U9/2)*(Z9*(1+(Y9-1)/5)-1)*X9/F9</f>
        <v>2.0499999999999998</v>
      </c>
      <c r="AD9" s="67">
        <f>兵种!K9</f>
        <v>0.75</v>
      </c>
    </row>
    <row r="10" spans="1:30" s="67" customFormat="1">
      <c r="A10" s="38">
        <v>3003</v>
      </c>
      <c r="B10" s="39" t="s">
        <v>190</v>
      </c>
      <c r="C10" s="39">
        <v>1</v>
      </c>
      <c r="D10" s="39">
        <v>2</v>
      </c>
      <c r="E10" s="44">
        <v>1</v>
      </c>
      <c r="F10" s="44">
        <v>10</v>
      </c>
      <c r="G10" s="44">
        <v>1</v>
      </c>
      <c r="H10" s="44">
        <v>7</v>
      </c>
      <c r="I10" s="44" t="str">
        <f t="shared" si="4"/>
        <v>0,6,10</v>
      </c>
      <c r="J10" s="39"/>
      <c r="K10" s="64" t="str">
        <f t="shared" si="6"/>
        <v>0,0,0</v>
      </c>
      <c r="L10" s="44" t="str">
        <f t="shared" si="0"/>
        <v>ASkill_3003_1</v>
      </c>
      <c r="M10" s="76">
        <v>1</v>
      </c>
      <c r="N10" s="44" t="str">
        <f t="shared" si="1"/>
        <v>ASkill_3003_2</v>
      </c>
      <c r="O10" s="76">
        <v>9</v>
      </c>
      <c r="P10" s="44" t="str">
        <f t="shared" si="2"/>
        <v>ASkill_3003_3</v>
      </c>
      <c r="Q10" s="76"/>
      <c r="R10" s="44" t="str">
        <f t="shared" si="3"/>
        <v>ASkillVoiceRun_3003</v>
      </c>
      <c r="S10" s="44" t="str">
        <f t="shared" si="7"/>
        <v>SkillVoiceHurt_3003</v>
      </c>
      <c r="T10" s="65" t="s">
        <v>191</v>
      </c>
      <c r="U10" s="63">
        <v>0</v>
      </c>
      <c r="V10" s="63">
        <v>6</v>
      </c>
      <c r="W10" s="63">
        <v>10</v>
      </c>
      <c r="X10" s="73">
        <v>0</v>
      </c>
      <c r="Y10" s="63">
        <v>0</v>
      </c>
      <c r="Z10" s="74">
        <v>0</v>
      </c>
      <c r="AA10" s="66" t="s">
        <v>93</v>
      </c>
      <c r="AB10" s="75">
        <f t="shared" si="5"/>
        <v>0</v>
      </c>
      <c r="AC10" s="63">
        <f>1+E10*W10/F10/AD10</f>
        <v>2</v>
      </c>
      <c r="AD10" s="67">
        <f>兵种!K10</f>
        <v>1</v>
      </c>
    </row>
    <row r="12" spans="1:30" s="10" customFormat="1">
      <c r="L12" s="50"/>
      <c r="M12" s="51"/>
      <c r="N12" s="50"/>
      <c r="O12" s="51"/>
      <c r="P12" s="50"/>
      <c r="Q12" s="51"/>
      <c r="R12" s="50"/>
      <c r="S12" s="50"/>
      <c r="T12" s="60"/>
      <c r="AC12" s="60"/>
    </row>
    <row r="13" spans="1:30" s="10" customFormat="1">
      <c r="B13" s="16" t="s">
        <v>113</v>
      </c>
      <c r="L13" s="50"/>
      <c r="M13" s="51"/>
      <c r="N13" s="50"/>
      <c r="O13" s="51"/>
      <c r="P13" s="50"/>
      <c r="Q13" s="51"/>
      <c r="R13" s="50"/>
      <c r="S13" s="50"/>
      <c r="T13" s="60"/>
      <c r="AC13" s="60"/>
    </row>
    <row r="14" spans="1:30" s="10" customFormat="1">
      <c r="L14" s="50"/>
      <c r="M14" s="51"/>
      <c r="N14" s="50"/>
      <c r="O14" s="51"/>
      <c r="P14" s="50"/>
      <c r="Q14" s="51"/>
      <c r="R14" s="50"/>
      <c r="S14" s="50"/>
      <c r="T14" s="60"/>
      <c r="AC14" s="60"/>
    </row>
    <row r="15" spans="1:30" s="10" customFormat="1">
      <c r="B15" s="16" t="s">
        <v>159</v>
      </c>
      <c r="L15" s="50"/>
      <c r="M15" s="51"/>
      <c r="N15" s="50"/>
      <c r="O15" s="51"/>
      <c r="P15" s="50"/>
      <c r="Q15" s="51"/>
      <c r="R15" s="50"/>
      <c r="S15" s="50"/>
      <c r="T15" s="60"/>
      <c r="AC15" s="60"/>
    </row>
    <row r="16" spans="1:30" s="10" customFormat="1">
      <c r="B16" s="16"/>
      <c r="L16" s="50"/>
      <c r="M16" s="51"/>
      <c r="N16" s="50"/>
      <c r="O16" s="51"/>
      <c r="P16" s="50"/>
      <c r="Q16" s="51"/>
      <c r="R16" s="50"/>
      <c r="S16" s="50"/>
      <c r="T16" s="60"/>
      <c r="AC16" s="60"/>
    </row>
    <row r="17" spans="2:29" s="10" customFormat="1">
      <c r="B17" s="16" t="s">
        <v>186</v>
      </c>
      <c r="L17" s="50"/>
      <c r="M17" s="51"/>
      <c r="N17" s="50"/>
      <c r="O17" s="51"/>
      <c r="P17" s="50"/>
      <c r="Q17" s="51"/>
      <c r="R17" s="50"/>
      <c r="S17" s="50"/>
      <c r="T17" s="60"/>
      <c r="AC17" s="60"/>
    </row>
    <row r="18" spans="2:29" s="10" customFormat="1">
      <c r="B18" s="16"/>
      <c r="L18" s="50"/>
      <c r="M18" s="51"/>
      <c r="N18" s="50"/>
      <c r="O18" s="51"/>
      <c r="P18" s="50"/>
      <c r="Q18" s="51"/>
      <c r="R18" s="50"/>
      <c r="S18" s="50"/>
      <c r="T18" s="60"/>
      <c r="AC18" s="60"/>
    </row>
    <row r="19" spans="2:29" s="10" customFormat="1">
      <c r="B19" s="16" t="s">
        <v>127</v>
      </c>
      <c r="L19" s="50"/>
      <c r="M19" s="51"/>
      <c r="N19" s="50"/>
      <c r="O19" s="51"/>
      <c r="P19" s="50"/>
      <c r="Q19" s="51"/>
      <c r="R19" s="50"/>
      <c r="S19" s="50"/>
      <c r="T19" s="60"/>
      <c r="AC19" s="60"/>
    </row>
    <row r="20" spans="2:29" s="10" customFormat="1">
      <c r="L20" s="50"/>
      <c r="M20" s="51"/>
      <c r="N20" s="50"/>
      <c r="O20" s="51"/>
      <c r="P20" s="50"/>
      <c r="Q20" s="51"/>
      <c r="R20" s="50"/>
      <c r="S20" s="50"/>
      <c r="T20" s="60"/>
      <c r="AC20" s="60"/>
    </row>
    <row r="21" spans="2:29" s="10" customFormat="1">
      <c r="B21" s="16" t="s">
        <v>87</v>
      </c>
      <c r="L21" s="50"/>
      <c r="M21" s="51"/>
      <c r="N21" s="50"/>
      <c r="O21" s="51"/>
      <c r="P21" s="50"/>
      <c r="Q21" s="51"/>
      <c r="R21" s="50"/>
      <c r="S21" s="50"/>
      <c r="T21" s="60"/>
      <c r="AC21" s="60"/>
    </row>
    <row r="22" spans="2:29" s="10" customFormat="1">
      <c r="L22" s="50"/>
      <c r="M22" s="51"/>
      <c r="N22" s="50"/>
      <c r="O22" s="51"/>
      <c r="P22" s="50"/>
      <c r="Q22" s="51"/>
      <c r="R22" s="50"/>
      <c r="S22" s="50"/>
      <c r="T22" s="60"/>
      <c r="AC22" s="60"/>
    </row>
    <row r="23" spans="2:29" s="10" customFormat="1">
      <c r="B23" s="16"/>
      <c r="L23" s="50"/>
      <c r="M23" s="51"/>
      <c r="N23" s="50"/>
      <c r="O23" s="51"/>
      <c r="P23" s="50"/>
      <c r="Q23" s="51"/>
      <c r="R23" s="50"/>
      <c r="S23" s="50"/>
      <c r="T23" s="60"/>
      <c r="AC23" s="60"/>
    </row>
    <row r="24" spans="2:29" s="10" customFormat="1">
      <c r="B24" s="10" t="str">
        <f>"--------------以下字段不会出现在config表中--------------"</f>
        <v>--------------以下字段不会出现在config表中--------------</v>
      </c>
      <c r="L24" s="50"/>
      <c r="M24" s="51"/>
      <c r="N24" s="50"/>
      <c r="O24" s="51"/>
      <c r="P24" s="50"/>
      <c r="Q24" s="51"/>
      <c r="R24" s="50"/>
      <c r="S24" s="50"/>
      <c r="T24" s="60"/>
      <c r="AC24" s="60"/>
    </row>
    <row r="26" spans="2:29">
      <c r="B26" s="41" t="s">
        <v>128</v>
      </c>
    </row>
    <row r="27" spans="2:29">
      <c r="B27" s="41"/>
    </row>
    <row r="28" spans="2:29">
      <c r="B28" s="41"/>
      <c r="C28" s="41" t="s">
        <v>101</v>
      </c>
    </row>
    <row r="30" spans="2:29">
      <c r="B30" s="41" t="s">
        <v>134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T5 AC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showGridLines="0" workbookViewId="0">
      <pane ySplit="1" topLeftCell="A2" activePane="bottomLeft" state="frozen"/>
      <selection pane="bottomLeft" activeCell="M3" sqref="M3"/>
    </sheetView>
  </sheetViews>
  <sheetFormatPr defaultRowHeight="13.5"/>
  <sheetData>
    <row r="1" spans="1:17" s="88" customFormat="1">
      <c r="A1" s="88" t="s">
        <v>253</v>
      </c>
      <c r="B1" s="88" t="s">
        <v>254</v>
      </c>
      <c r="C1" s="88" t="s">
        <v>255</v>
      </c>
      <c r="D1" s="88" t="s">
        <v>256</v>
      </c>
      <c r="E1" s="88" t="s">
        <v>257</v>
      </c>
      <c r="F1" s="88" t="s">
        <v>261</v>
      </c>
      <c r="G1" s="88" t="s">
        <v>264</v>
      </c>
      <c r="H1" s="88" t="s">
        <v>265</v>
      </c>
      <c r="I1" s="88" t="s">
        <v>262</v>
      </c>
      <c r="J1" s="88" t="s">
        <v>266</v>
      </c>
      <c r="K1" s="88" t="s">
        <v>267</v>
      </c>
      <c r="L1" s="88" t="s">
        <v>269</v>
      </c>
    </row>
    <row r="2" spans="1:17">
      <c r="A2">
        <v>1</v>
      </c>
      <c r="B2">
        <f>$Q$3+$Q$4*H2</f>
        <v>3.5</v>
      </c>
      <c r="C2">
        <f>VLOOKUP(L2,$P$9:$Q$38,2,FALSE)</f>
        <v>3003</v>
      </c>
      <c r="D2" t="str">
        <f>VLOOKUP(C2,兵种!$A$2:$B$10,2,FALSE)</f>
        <v>飞行恶魔</v>
      </c>
      <c r="E2">
        <f>SUM($B$2:B2)</f>
        <v>3.5</v>
      </c>
      <c r="F2">
        <f>IF(A2&gt;$Q$5*4,5,1+INT((A2-1)/5))</f>
        <v>1</v>
      </c>
      <c r="G2">
        <f ca="1">RANDBETWEEN(0,2*$Q$6)-$Q$6</f>
        <v>-2</v>
      </c>
      <c r="H2">
        <v>-1</v>
      </c>
      <c r="I2">
        <f>IF((F2+H2)&lt;1,1,IF((F2+H2)&gt;5,5,F2+H2))</f>
        <v>1</v>
      </c>
      <c r="J2">
        <f ca="1">RANDBETWEEN(1,6)</f>
        <v>5</v>
      </c>
      <c r="K2">
        <v>2</v>
      </c>
      <c r="L2">
        <f>100*I2+K2</f>
        <v>102</v>
      </c>
    </row>
    <row r="3" spans="1:17">
      <c r="A3">
        <v>2</v>
      </c>
      <c r="B3">
        <f t="shared" ref="B3:B51" si="0">$Q$3+$Q$4*H3</f>
        <v>3</v>
      </c>
      <c r="C3">
        <f t="shared" ref="C3:C51" si="1">VLOOKUP(L3,$P$9:$Q$38,2,FALSE)</f>
        <v>3003</v>
      </c>
      <c r="D3" t="str">
        <f>VLOOKUP(C3,兵种!$A$2:$B$10,2,FALSE)</f>
        <v>飞行恶魔</v>
      </c>
      <c r="E3">
        <f>SUM($B$2:B3)</f>
        <v>6.5</v>
      </c>
      <c r="F3">
        <f t="shared" ref="F3:F51" si="2">IF(A3&gt;$Q$5*4,5,1+INT((A3-1)/5))</f>
        <v>1</v>
      </c>
      <c r="G3">
        <f t="shared" ref="G3:H51" ca="1" si="3">RANDBETWEEN(0,2*$Q$6)-$Q$6</f>
        <v>-1</v>
      </c>
      <c r="H3">
        <v>-2</v>
      </c>
      <c r="I3">
        <f t="shared" ref="I3:I51" si="4">IF((F3+H3)&lt;1,1,IF((F3+H3)&gt;5,5,F3+H3))</f>
        <v>1</v>
      </c>
      <c r="J3">
        <f t="shared" ref="J3:J51" ca="1" si="5">RANDBETWEEN(1,6)</f>
        <v>4</v>
      </c>
      <c r="K3">
        <v>3</v>
      </c>
      <c r="L3">
        <f t="shared" ref="L3:L51" si="6">100*I3+K3</f>
        <v>103</v>
      </c>
      <c r="P3" s="89" t="s">
        <v>258</v>
      </c>
      <c r="Q3" s="5">
        <v>4</v>
      </c>
    </row>
    <row r="4" spans="1:17">
      <c r="A4">
        <v>3</v>
      </c>
      <c r="B4">
        <f t="shared" si="0"/>
        <v>4.5</v>
      </c>
      <c r="C4">
        <f t="shared" si="1"/>
        <v>3002</v>
      </c>
      <c r="D4" t="str">
        <f>VLOOKUP(C4,兵种!$A$2:$B$10,2,FALSE)</f>
        <v>飞球</v>
      </c>
      <c r="E4">
        <f>SUM($B$2:B4)</f>
        <v>11</v>
      </c>
      <c r="F4">
        <f t="shared" si="2"/>
        <v>1</v>
      </c>
      <c r="G4">
        <f t="shared" ca="1" si="3"/>
        <v>-2</v>
      </c>
      <c r="H4">
        <v>1</v>
      </c>
      <c r="I4">
        <f t="shared" si="4"/>
        <v>2</v>
      </c>
      <c r="J4">
        <f t="shared" ca="1" si="5"/>
        <v>2</v>
      </c>
      <c r="K4">
        <v>2</v>
      </c>
      <c r="L4">
        <f t="shared" si="6"/>
        <v>202</v>
      </c>
      <c r="P4" s="89" t="s">
        <v>259</v>
      </c>
      <c r="Q4" s="5">
        <v>0.5</v>
      </c>
    </row>
    <row r="5" spans="1:17">
      <c r="A5">
        <v>4</v>
      </c>
      <c r="B5">
        <f t="shared" si="0"/>
        <v>3.5</v>
      </c>
      <c r="C5">
        <f t="shared" si="1"/>
        <v>3003</v>
      </c>
      <c r="D5" t="str">
        <f>VLOOKUP(C5,兵种!$A$2:$B$10,2,FALSE)</f>
        <v>飞行恶魔</v>
      </c>
      <c r="E5">
        <f>SUM($B$2:B5)</f>
        <v>14.5</v>
      </c>
      <c r="F5">
        <f t="shared" si="2"/>
        <v>1</v>
      </c>
      <c r="G5">
        <f t="shared" ca="1" si="3"/>
        <v>-2</v>
      </c>
      <c r="H5">
        <v>-1</v>
      </c>
      <c r="I5">
        <f t="shared" si="4"/>
        <v>1</v>
      </c>
      <c r="J5">
        <f t="shared" ca="1" si="5"/>
        <v>6</v>
      </c>
      <c r="K5">
        <v>2</v>
      </c>
      <c r="L5">
        <f t="shared" si="6"/>
        <v>102</v>
      </c>
      <c r="P5" s="89" t="s">
        <v>260</v>
      </c>
      <c r="Q5" s="5">
        <v>5</v>
      </c>
    </row>
    <row r="6" spans="1:17">
      <c r="A6">
        <v>5</v>
      </c>
      <c r="B6">
        <f t="shared" si="0"/>
        <v>5</v>
      </c>
      <c r="C6">
        <f t="shared" si="1"/>
        <v>1003</v>
      </c>
      <c r="D6" t="str">
        <f>VLOOKUP(C6,兵种!$A$2:$B$10,2,FALSE)</f>
        <v>近战恶魔</v>
      </c>
      <c r="E6">
        <f>SUM($B$2:B6)</f>
        <v>19.5</v>
      </c>
      <c r="F6">
        <f t="shared" si="2"/>
        <v>1</v>
      </c>
      <c r="G6">
        <f t="shared" ca="1" si="3"/>
        <v>2</v>
      </c>
      <c r="H6">
        <v>2</v>
      </c>
      <c r="I6">
        <f t="shared" si="4"/>
        <v>3</v>
      </c>
      <c r="J6">
        <f t="shared" ca="1" si="5"/>
        <v>2</v>
      </c>
      <c r="K6">
        <v>5</v>
      </c>
      <c r="L6">
        <f t="shared" si="6"/>
        <v>305</v>
      </c>
      <c r="P6" s="89" t="s">
        <v>263</v>
      </c>
      <c r="Q6" s="5">
        <v>2</v>
      </c>
    </row>
    <row r="7" spans="1:17">
      <c r="A7">
        <v>6</v>
      </c>
      <c r="B7">
        <f t="shared" si="0"/>
        <v>3</v>
      </c>
      <c r="C7">
        <f t="shared" si="1"/>
        <v>3003</v>
      </c>
      <c r="D7" t="str">
        <f>VLOOKUP(C7,兵种!$A$2:$B$10,2,FALSE)</f>
        <v>飞行恶魔</v>
      </c>
      <c r="E7">
        <f>SUM($B$2:B7)</f>
        <v>22.5</v>
      </c>
      <c r="F7">
        <f t="shared" si="2"/>
        <v>2</v>
      </c>
      <c r="G7">
        <f t="shared" ca="1" si="3"/>
        <v>0</v>
      </c>
      <c r="H7">
        <v>-2</v>
      </c>
      <c r="I7">
        <f t="shared" si="4"/>
        <v>1</v>
      </c>
      <c r="J7">
        <f t="shared" ca="1" si="5"/>
        <v>3</v>
      </c>
      <c r="K7">
        <v>2</v>
      </c>
      <c r="L7">
        <f t="shared" si="6"/>
        <v>102</v>
      </c>
    </row>
    <row r="8" spans="1:17">
      <c r="A8">
        <v>7</v>
      </c>
      <c r="B8">
        <f t="shared" si="0"/>
        <v>3.5</v>
      </c>
      <c r="C8">
        <f t="shared" si="1"/>
        <v>3003</v>
      </c>
      <c r="D8" t="str">
        <f>VLOOKUP(C8,兵种!$A$2:$B$10,2,FALSE)</f>
        <v>飞行恶魔</v>
      </c>
      <c r="E8">
        <f>SUM($B$2:B8)</f>
        <v>26</v>
      </c>
      <c r="F8">
        <f t="shared" si="2"/>
        <v>2</v>
      </c>
      <c r="G8">
        <f t="shared" ca="1" si="3"/>
        <v>0</v>
      </c>
      <c r="H8">
        <v>-1</v>
      </c>
      <c r="I8">
        <f t="shared" si="4"/>
        <v>1</v>
      </c>
      <c r="J8">
        <f t="shared" ca="1" si="5"/>
        <v>6</v>
      </c>
      <c r="K8">
        <v>1</v>
      </c>
      <c r="L8">
        <f t="shared" si="6"/>
        <v>101</v>
      </c>
      <c r="P8" s="81" t="s">
        <v>268</v>
      </c>
      <c r="Q8" s="81" t="s">
        <v>255</v>
      </c>
    </row>
    <row r="9" spans="1:17">
      <c r="A9">
        <v>8</v>
      </c>
      <c r="B9">
        <f t="shared" si="0"/>
        <v>5</v>
      </c>
      <c r="C9">
        <f t="shared" si="1"/>
        <v>1002</v>
      </c>
      <c r="D9" t="str">
        <f>VLOOKUP(C9,兵种!$A$2:$B$10,2,FALSE)</f>
        <v>蓝帽子</v>
      </c>
      <c r="E9">
        <f>SUM($B$2:B9)</f>
        <v>31</v>
      </c>
      <c r="F9">
        <f t="shared" si="2"/>
        <v>2</v>
      </c>
      <c r="G9">
        <f t="shared" ca="1" si="3"/>
        <v>0</v>
      </c>
      <c r="H9">
        <v>2</v>
      </c>
      <c r="I9">
        <f t="shared" si="4"/>
        <v>4</v>
      </c>
      <c r="J9">
        <f t="shared" ca="1" si="5"/>
        <v>5</v>
      </c>
      <c r="K9">
        <v>1</v>
      </c>
      <c r="L9">
        <f t="shared" si="6"/>
        <v>401</v>
      </c>
      <c r="P9" s="2">
        <v>101</v>
      </c>
      <c r="Q9" s="2">
        <v>3003</v>
      </c>
    </row>
    <row r="10" spans="1:17">
      <c r="A10">
        <v>9</v>
      </c>
      <c r="B10">
        <f t="shared" si="0"/>
        <v>4.5</v>
      </c>
      <c r="C10">
        <f t="shared" si="1"/>
        <v>2003</v>
      </c>
      <c r="D10" t="str">
        <f>VLOOKUP(C10,兵种!$A$2:$B$10,2,FALSE)</f>
        <v>远程恶魔</v>
      </c>
      <c r="E10">
        <f>SUM($B$2:B10)</f>
        <v>35.5</v>
      </c>
      <c r="F10">
        <f t="shared" si="2"/>
        <v>2</v>
      </c>
      <c r="G10">
        <f t="shared" ca="1" si="3"/>
        <v>1</v>
      </c>
      <c r="H10">
        <v>1</v>
      </c>
      <c r="I10">
        <f t="shared" si="4"/>
        <v>3</v>
      </c>
      <c r="J10">
        <f t="shared" ca="1" si="5"/>
        <v>5</v>
      </c>
      <c r="K10">
        <v>2</v>
      </c>
      <c r="L10">
        <f t="shared" si="6"/>
        <v>302</v>
      </c>
      <c r="P10" s="2">
        <v>102</v>
      </c>
      <c r="Q10" s="2">
        <v>3003</v>
      </c>
    </row>
    <row r="11" spans="1:17">
      <c r="A11">
        <v>10</v>
      </c>
      <c r="B11">
        <f t="shared" si="0"/>
        <v>3</v>
      </c>
      <c r="C11">
        <f t="shared" si="1"/>
        <v>3003</v>
      </c>
      <c r="D11" t="str">
        <f>VLOOKUP(C11,兵种!$A$2:$B$10,2,FALSE)</f>
        <v>飞行恶魔</v>
      </c>
      <c r="E11">
        <f>SUM($B$2:B11)</f>
        <v>38.5</v>
      </c>
      <c r="F11">
        <f t="shared" si="2"/>
        <v>2</v>
      </c>
      <c r="G11">
        <f t="shared" ca="1" si="3"/>
        <v>0</v>
      </c>
      <c r="H11">
        <v>-2</v>
      </c>
      <c r="I11">
        <f t="shared" si="4"/>
        <v>1</v>
      </c>
      <c r="J11">
        <f t="shared" ca="1" si="5"/>
        <v>2</v>
      </c>
      <c r="K11">
        <v>5</v>
      </c>
      <c r="L11">
        <f t="shared" si="6"/>
        <v>105</v>
      </c>
      <c r="P11" s="2">
        <v>103</v>
      </c>
      <c r="Q11" s="2">
        <v>3003</v>
      </c>
    </row>
    <row r="12" spans="1:17">
      <c r="A12">
        <v>11</v>
      </c>
      <c r="B12">
        <f t="shared" si="0"/>
        <v>3</v>
      </c>
      <c r="C12">
        <f t="shared" si="1"/>
        <v>3003</v>
      </c>
      <c r="D12" t="str">
        <f>VLOOKUP(C12,兵种!$A$2:$B$10,2,FALSE)</f>
        <v>飞行恶魔</v>
      </c>
      <c r="E12">
        <f>SUM($B$2:B12)</f>
        <v>41.5</v>
      </c>
      <c r="F12">
        <f t="shared" si="2"/>
        <v>3</v>
      </c>
      <c r="G12">
        <f t="shared" ca="1" si="3"/>
        <v>2</v>
      </c>
      <c r="H12">
        <v>-2</v>
      </c>
      <c r="I12">
        <f t="shared" si="4"/>
        <v>1</v>
      </c>
      <c r="J12">
        <f t="shared" ca="1" si="5"/>
        <v>2</v>
      </c>
      <c r="K12">
        <v>3</v>
      </c>
      <c r="L12">
        <f t="shared" si="6"/>
        <v>103</v>
      </c>
      <c r="P12" s="2">
        <v>104</v>
      </c>
      <c r="Q12" s="2">
        <v>3003</v>
      </c>
    </row>
    <row r="13" spans="1:17">
      <c r="A13">
        <v>12</v>
      </c>
      <c r="B13">
        <f t="shared" si="0"/>
        <v>4.5</v>
      </c>
      <c r="C13">
        <f t="shared" si="1"/>
        <v>1002</v>
      </c>
      <c r="D13" t="str">
        <f>VLOOKUP(C13,兵种!$A$2:$B$10,2,FALSE)</f>
        <v>蓝帽子</v>
      </c>
      <c r="E13">
        <f>SUM($B$2:B13)</f>
        <v>46</v>
      </c>
      <c r="F13">
        <f t="shared" si="2"/>
        <v>3</v>
      </c>
      <c r="G13">
        <f t="shared" ca="1" si="3"/>
        <v>1</v>
      </c>
      <c r="H13">
        <v>1</v>
      </c>
      <c r="I13">
        <f t="shared" si="4"/>
        <v>4</v>
      </c>
      <c r="J13">
        <f t="shared" ca="1" si="5"/>
        <v>1</v>
      </c>
      <c r="K13">
        <v>4</v>
      </c>
      <c r="L13">
        <f t="shared" si="6"/>
        <v>404</v>
      </c>
      <c r="P13" s="2">
        <v>105</v>
      </c>
      <c r="Q13" s="2">
        <v>3003</v>
      </c>
    </row>
    <row r="14" spans="1:17">
      <c r="A14">
        <v>13</v>
      </c>
      <c r="B14">
        <f t="shared" si="0"/>
        <v>4.5</v>
      </c>
      <c r="C14">
        <f t="shared" si="1"/>
        <v>1002</v>
      </c>
      <c r="D14" t="str">
        <f>VLOOKUP(C14,兵种!$A$2:$B$10,2,FALSE)</f>
        <v>蓝帽子</v>
      </c>
      <c r="E14">
        <f>SUM($B$2:B14)</f>
        <v>50.5</v>
      </c>
      <c r="F14">
        <f t="shared" si="2"/>
        <v>3</v>
      </c>
      <c r="G14">
        <f t="shared" ca="1" si="3"/>
        <v>1</v>
      </c>
      <c r="H14">
        <v>1</v>
      </c>
      <c r="I14">
        <f t="shared" si="4"/>
        <v>4</v>
      </c>
      <c r="J14">
        <f t="shared" ca="1" si="5"/>
        <v>2</v>
      </c>
      <c r="K14">
        <v>1</v>
      </c>
      <c r="L14">
        <f t="shared" si="6"/>
        <v>401</v>
      </c>
      <c r="P14" s="2">
        <v>106</v>
      </c>
      <c r="Q14" s="2">
        <v>3003</v>
      </c>
    </row>
    <row r="15" spans="1:17">
      <c r="A15">
        <v>14</v>
      </c>
      <c r="B15">
        <f t="shared" si="0"/>
        <v>3.5</v>
      </c>
      <c r="C15">
        <f t="shared" si="1"/>
        <v>3002</v>
      </c>
      <c r="D15" t="str">
        <f>VLOOKUP(C15,兵种!$A$2:$B$10,2,FALSE)</f>
        <v>飞球</v>
      </c>
      <c r="E15">
        <f>SUM($B$2:B15)</f>
        <v>54</v>
      </c>
      <c r="F15">
        <f t="shared" si="2"/>
        <v>3</v>
      </c>
      <c r="G15">
        <f t="shared" ca="1" si="3"/>
        <v>1</v>
      </c>
      <c r="H15">
        <v>-1</v>
      </c>
      <c r="I15">
        <f t="shared" si="4"/>
        <v>2</v>
      </c>
      <c r="J15">
        <f t="shared" ca="1" si="5"/>
        <v>2</v>
      </c>
      <c r="K15">
        <v>2</v>
      </c>
      <c r="L15">
        <f t="shared" si="6"/>
        <v>202</v>
      </c>
      <c r="P15" s="2">
        <v>201</v>
      </c>
      <c r="Q15" s="2">
        <v>2002</v>
      </c>
    </row>
    <row r="16" spans="1:17">
      <c r="A16">
        <v>15</v>
      </c>
      <c r="B16">
        <f t="shared" si="0"/>
        <v>4</v>
      </c>
      <c r="C16">
        <f t="shared" si="1"/>
        <v>2003</v>
      </c>
      <c r="D16" t="str">
        <f>VLOOKUP(C16,兵种!$A$2:$B$10,2,FALSE)</f>
        <v>远程恶魔</v>
      </c>
      <c r="E16">
        <f>SUM($B$2:B16)</f>
        <v>58</v>
      </c>
      <c r="F16">
        <f t="shared" si="2"/>
        <v>3</v>
      </c>
      <c r="G16">
        <f t="shared" ca="1" si="3"/>
        <v>2</v>
      </c>
      <c r="H16">
        <v>0</v>
      </c>
      <c r="I16">
        <f t="shared" si="4"/>
        <v>3</v>
      </c>
      <c r="J16">
        <f t="shared" ca="1" si="5"/>
        <v>4</v>
      </c>
      <c r="K16">
        <v>6</v>
      </c>
      <c r="L16">
        <f t="shared" si="6"/>
        <v>306</v>
      </c>
      <c r="P16" s="2">
        <v>202</v>
      </c>
      <c r="Q16" s="2">
        <v>3002</v>
      </c>
    </row>
    <row r="17" spans="1:17">
      <c r="A17">
        <v>16</v>
      </c>
      <c r="B17">
        <f t="shared" si="0"/>
        <v>3</v>
      </c>
      <c r="C17">
        <f t="shared" si="1"/>
        <v>3002</v>
      </c>
      <c r="D17" t="str">
        <f>VLOOKUP(C17,兵种!$A$2:$B$10,2,FALSE)</f>
        <v>飞球</v>
      </c>
      <c r="E17">
        <f>SUM($B$2:B17)</f>
        <v>61</v>
      </c>
      <c r="F17">
        <f t="shared" si="2"/>
        <v>4</v>
      </c>
      <c r="G17">
        <f t="shared" ca="1" si="3"/>
        <v>1</v>
      </c>
      <c r="H17">
        <v>-2</v>
      </c>
      <c r="I17">
        <f t="shared" si="4"/>
        <v>2</v>
      </c>
      <c r="J17">
        <f t="shared" ca="1" si="5"/>
        <v>1</v>
      </c>
      <c r="K17">
        <v>2</v>
      </c>
      <c r="L17">
        <f t="shared" si="6"/>
        <v>202</v>
      </c>
      <c r="P17" s="90">
        <v>203</v>
      </c>
      <c r="Q17" s="2">
        <v>2002</v>
      </c>
    </row>
    <row r="18" spans="1:17">
      <c r="A18">
        <v>17</v>
      </c>
      <c r="B18">
        <f t="shared" si="0"/>
        <v>3.5</v>
      </c>
      <c r="C18">
        <f t="shared" si="1"/>
        <v>2003</v>
      </c>
      <c r="D18" t="str">
        <f>VLOOKUP(C18,兵种!$A$2:$B$10,2,FALSE)</f>
        <v>远程恶魔</v>
      </c>
      <c r="E18">
        <f>SUM($B$2:B18)</f>
        <v>64.5</v>
      </c>
      <c r="F18">
        <f t="shared" si="2"/>
        <v>4</v>
      </c>
      <c r="G18">
        <f t="shared" ca="1" si="3"/>
        <v>-1</v>
      </c>
      <c r="H18">
        <v>-1</v>
      </c>
      <c r="I18">
        <f t="shared" si="4"/>
        <v>3</v>
      </c>
      <c r="J18">
        <f t="shared" ca="1" si="5"/>
        <v>5</v>
      </c>
      <c r="K18">
        <v>4</v>
      </c>
      <c r="L18">
        <f t="shared" si="6"/>
        <v>304</v>
      </c>
      <c r="P18" s="2">
        <v>204</v>
      </c>
      <c r="Q18" s="2">
        <v>3002</v>
      </c>
    </row>
    <row r="19" spans="1:17">
      <c r="A19">
        <v>18</v>
      </c>
      <c r="B19">
        <f t="shared" si="0"/>
        <v>4.5</v>
      </c>
      <c r="C19">
        <f t="shared" si="1"/>
        <v>1001</v>
      </c>
      <c r="D19" t="str">
        <f>VLOOKUP(C19,兵种!$A$2:$B$10,2,FALSE)</f>
        <v>绿巨人</v>
      </c>
      <c r="E19">
        <f>SUM($B$2:B19)</f>
        <v>69</v>
      </c>
      <c r="F19">
        <f t="shared" si="2"/>
        <v>4</v>
      </c>
      <c r="G19">
        <f t="shared" ca="1" si="3"/>
        <v>2</v>
      </c>
      <c r="H19">
        <v>1</v>
      </c>
      <c r="I19">
        <f t="shared" si="4"/>
        <v>5</v>
      </c>
      <c r="J19">
        <f t="shared" ca="1" si="5"/>
        <v>1</v>
      </c>
      <c r="K19">
        <v>5</v>
      </c>
      <c r="L19">
        <f t="shared" si="6"/>
        <v>505</v>
      </c>
      <c r="P19" s="90">
        <v>205</v>
      </c>
      <c r="Q19" s="2">
        <v>2002</v>
      </c>
    </row>
    <row r="20" spans="1:17">
      <c r="A20">
        <v>19</v>
      </c>
      <c r="B20">
        <f t="shared" si="0"/>
        <v>3</v>
      </c>
      <c r="C20">
        <f t="shared" si="1"/>
        <v>3002</v>
      </c>
      <c r="D20" t="str">
        <f>VLOOKUP(C20,兵种!$A$2:$B$10,2,FALSE)</f>
        <v>飞球</v>
      </c>
      <c r="E20">
        <f>SUM($B$2:B20)</f>
        <v>72</v>
      </c>
      <c r="F20">
        <f t="shared" si="2"/>
        <v>4</v>
      </c>
      <c r="G20">
        <f t="shared" ca="1" si="3"/>
        <v>2</v>
      </c>
      <c r="H20">
        <v>-2</v>
      </c>
      <c r="I20">
        <f t="shared" si="4"/>
        <v>2</v>
      </c>
      <c r="J20">
        <f t="shared" ca="1" si="5"/>
        <v>1</v>
      </c>
      <c r="K20">
        <v>2</v>
      </c>
      <c r="L20">
        <f t="shared" si="6"/>
        <v>202</v>
      </c>
      <c r="P20" s="2">
        <v>206</v>
      </c>
      <c r="Q20" s="2">
        <v>3002</v>
      </c>
    </row>
    <row r="21" spans="1:17">
      <c r="A21">
        <v>20</v>
      </c>
      <c r="B21">
        <f t="shared" si="0"/>
        <v>3</v>
      </c>
      <c r="C21">
        <f t="shared" si="1"/>
        <v>2002</v>
      </c>
      <c r="D21" t="str">
        <f>VLOOKUP(C21,兵种!$A$2:$B$10,2,FALSE)</f>
        <v>荷叶帽</v>
      </c>
      <c r="E21">
        <f>SUM($B$2:B21)</f>
        <v>75</v>
      </c>
      <c r="F21">
        <f t="shared" si="2"/>
        <v>4</v>
      </c>
      <c r="G21">
        <f t="shared" ca="1" si="3"/>
        <v>-2</v>
      </c>
      <c r="H21">
        <v>-2</v>
      </c>
      <c r="I21">
        <f t="shared" si="4"/>
        <v>2</v>
      </c>
      <c r="J21">
        <f t="shared" ca="1" si="5"/>
        <v>5</v>
      </c>
      <c r="K21">
        <v>5</v>
      </c>
      <c r="L21">
        <f t="shared" si="6"/>
        <v>205</v>
      </c>
      <c r="P21" s="2">
        <v>301</v>
      </c>
      <c r="Q21" s="2">
        <v>1003</v>
      </c>
    </row>
    <row r="22" spans="1:17">
      <c r="A22">
        <v>21</v>
      </c>
      <c r="B22">
        <f t="shared" si="0"/>
        <v>3</v>
      </c>
      <c r="C22">
        <f t="shared" si="1"/>
        <v>1003</v>
      </c>
      <c r="D22" t="str">
        <f>VLOOKUP(C22,兵种!$A$2:$B$10,2,FALSE)</f>
        <v>近战恶魔</v>
      </c>
      <c r="E22">
        <f>SUM($B$2:B22)</f>
        <v>78</v>
      </c>
      <c r="F22">
        <f t="shared" si="2"/>
        <v>5</v>
      </c>
      <c r="G22">
        <f t="shared" ca="1" si="3"/>
        <v>-2</v>
      </c>
      <c r="H22">
        <v>-2</v>
      </c>
      <c r="I22">
        <f t="shared" si="4"/>
        <v>3</v>
      </c>
      <c r="J22">
        <f t="shared" ca="1" si="5"/>
        <v>3</v>
      </c>
      <c r="K22">
        <v>3</v>
      </c>
      <c r="L22">
        <f t="shared" si="6"/>
        <v>303</v>
      </c>
      <c r="P22" s="2">
        <v>302</v>
      </c>
      <c r="Q22" s="2">
        <v>2003</v>
      </c>
    </row>
    <row r="23" spans="1:17">
      <c r="A23">
        <v>22</v>
      </c>
      <c r="B23">
        <f t="shared" si="0"/>
        <v>3</v>
      </c>
      <c r="C23">
        <f t="shared" si="1"/>
        <v>2003</v>
      </c>
      <c r="D23" t="str">
        <f>VLOOKUP(C23,兵种!$A$2:$B$10,2,FALSE)</f>
        <v>远程恶魔</v>
      </c>
      <c r="E23">
        <f>SUM($B$2:B23)</f>
        <v>81</v>
      </c>
      <c r="F23">
        <f t="shared" si="2"/>
        <v>5</v>
      </c>
      <c r="G23">
        <f t="shared" ca="1" si="3"/>
        <v>2</v>
      </c>
      <c r="H23">
        <v>-2</v>
      </c>
      <c r="I23">
        <f t="shared" si="4"/>
        <v>3</v>
      </c>
      <c r="J23">
        <f t="shared" ca="1" si="5"/>
        <v>1</v>
      </c>
      <c r="K23">
        <v>2</v>
      </c>
      <c r="L23">
        <f t="shared" si="6"/>
        <v>302</v>
      </c>
      <c r="P23" s="90">
        <v>303</v>
      </c>
      <c r="Q23" s="2">
        <v>1003</v>
      </c>
    </row>
    <row r="24" spans="1:17">
      <c r="A24">
        <v>23</v>
      </c>
      <c r="B24">
        <f t="shared" si="0"/>
        <v>3</v>
      </c>
      <c r="C24">
        <f t="shared" si="1"/>
        <v>2003</v>
      </c>
      <c r="D24" t="str">
        <f>VLOOKUP(C24,兵种!$A$2:$B$10,2,FALSE)</f>
        <v>远程恶魔</v>
      </c>
      <c r="E24">
        <f>SUM($B$2:B24)</f>
        <v>84</v>
      </c>
      <c r="F24">
        <f t="shared" si="2"/>
        <v>5</v>
      </c>
      <c r="G24">
        <f t="shared" ca="1" si="3"/>
        <v>-2</v>
      </c>
      <c r="H24">
        <v>-2</v>
      </c>
      <c r="I24">
        <f t="shared" si="4"/>
        <v>3</v>
      </c>
      <c r="J24">
        <f t="shared" ca="1" si="5"/>
        <v>6</v>
      </c>
      <c r="K24">
        <v>6</v>
      </c>
      <c r="L24">
        <f t="shared" si="6"/>
        <v>306</v>
      </c>
      <c r="P24" s="2">
        <v>304</v>
      </c>
      <c r="Q24" s="2">
        <v>2003</v>
      </c>
    </row>
    <row r="25" spans="1:17">
      <c r="A25">
        <v>24</v>
      </c>
      <c r="B25">
        <f t="shared" si="0"/>
        <v>3</v>
      </c>
      <c r="C25">
        <f t="shared" si="1"/>
        <v>1003</v>
      </c>
      <c r="D25" t="str">
        <f>VLOOKUP(C25,兵种!$A$2:$B$10,2,FALSE)</f>
        <v>近战恶魔</v>
      </c>
      <c r="E25">
        <f>SUM($B$2:B25)</f>
        <v>87</v>
      </c>
      <c r="F25">
        <f t="shared" si="2"/>
        <v>5</v>
      </c>
      <c r="G25">
        <f t="shared" ca="1" si="3"/>
        <v>2</v>
      </c>
      <c r="H25">
        <v>-2</v>
      </c>
      <c r="I25">
        <f t="shared" si="4"/>
        <v>3</v>
      </c>
      <c r="J25">
        <f t="shared" ca="1" si="5"/>
        <v>4</v>
      </c>
      <c r="K25">
        <v>1</v>
      </c>
      <c r="L25">
        <f t="shared" si="6"/>
        <v>301</v>
      </c>
      <c r="P25" s="90">
        <v>305</v>
      </c>
      <c r="Q25" s="2">
        <v>1003</v>
      </c>
    </row>
    <row r="26" spans="1:17">
      <c r="A26">
        <v>25</v>
      </c>
      <c r="B26">
        <f t="shared" si="0"/>
        <v>4.5</v>
      </c>
      <c r="C26">
        <f t="shared" si="1"/>
        <v>1001</v>
      </c>
      <c r="D26" t="str">
        <f>VLOOKUP(C26,兵种!$A$2:$B$10,2,FALSE)</f>
        <v>绿巨人</v>
      </c>
      <c r="E26">
        <f>SUM($B$2:B26)</f>
        <v>91.5</v>
      </c>
      <c r="F26">
        <f t="shared" si="2"/>
        <v>5</v>
      </c>
      <c r="G26">
        <f t="shared" ca="1" si="3"/>
        <v>-2</v>
      </c>
      <c r="H26">
        <v>1</v>
      </c>
      <c r="I26">
        <f t="shared" si="4"/>
        <v>5</v>
      </c>
      <c r="J26">
        <f t="shared" ca="1" si="5"/>
        <v>5</v>
      </c>
      <c r="K26">
        <v>5</v>
      </c>
      <c r="L26">
        <f t="shared" si="6"/>
        <v>505</v>
      </c>
      <c r="P26" s="2">
        <v>306</v>
      </c>
      <c r="Q26" s="2">
        <v>2003</v>
      </c>
    </row>
    <row r="27" spans="1:17">
      <c r="A27">
        <v>26</v>
      </c>
      <c r="B27">
        <f t="shared" si="0"/>
        <v>5</v>
      </c>
      <c r="C27">
        <f t="shared" si="1"/>
        <v>1001</v>
      </c>
      <c r="D27" t="str">
        <f>VLOOKUP(C27,兵种!$A$2:$B$10,2,FALSE)</f>
        <v>绿巨人</v>
      </c>
      <c r="E27">
        <f>SUM($B$2:B27)</f>
        <v>96.5</v>
      </c>
      <c r="F27">
        <f t="shared" si="2"/>
        <v>5</v>
      </c>
      <c r="G27">
        <f t="shared" ca="1" si="3"/>
        <v>-2</v>
      </c>
      <c r="H27">
        <v>2</v>
      </c>
      <c r="I27">
        <f t="shared" si="4"/>
        <v>5</v>
      </c>
      <c r="J27">
        <f t="shared" ca="1" si="5"/>
        <v>3</v>
      </c>
      <c r="K27">
        <v>2</v>
      </c>
      <c r="L27">
        <f t="shared" si="6"/>
        <v>502</v>
      </c>
      <c r="P27" s="2">
        <v>401</v>
      </c>
      <c r="Q27" s="2">
        <v>1002</v>
      </c>
    </row>
    <row r="28" spans="1:17">
      <c r="A28">
        <v>27</v>
      </c>
      <c r="B28">
        <f t="shared" si="0"/>
        <v>3.5</v>
      </c>
      <c r="C28">
        <f t="shared" si="1"/>
        <v>2001</v>
      </c>
      <c r="D28" t="str">
        <f>VLOOKUP(C28,兵种!$A$2:$B$10,2,FALSE)</f>
        <v>奶嘴</v>
      </c>
      <c r="E28">
        <f>SUM($B$2:B28)</f>
        <v>100</v>
      </c>
      <c r="F28">
        <f t="shared" si="2"/>
        <v>5</v>
      </c>
      <c r="G28">
        <f t="shared" ca="1" si="3"/>
        <v>1</v>
      </c>
      <c r="H28">
        <v>-1</v>
      </c>
      <c r="I28">
        <f t="shared" si="4"/>
        <v>4</v>
      </c>
      <c r="J28">
        <f t="shared" ca="1" si="5"/>
        <v>6</v>
      </c>
      <c r="K28">
        <v>5</v>
      </c>
      <c r="L28">
        <f t="shared" si="6"/>
        <v>405</v>
      </c>
      <c r="P28" s="2">
        <v>402</v>
      </c>
      <c r="Q28" s="2">
        <v>2001</v>
      </c>
    </row>
    <row r="29" spans="1:17">
      <c r="A29">
        <v>28</v>
      </c>
      <c r="B29">
        <f t="shared" si="0"/>
        <v>4.5</v>
      </c>
      <c r="C29">
        <f t="shared" si="1"/>
        <v>1001</v>
      </c>
      <c r="D29" t="str">
        <f>VLOOKUP(C29,兵种!$A$2:$B$10,2,FALSE)</f>
        <v>绿巨人</v>
      </c>
      <c r="E29">
        <f>SUM($B$2:B29)</f>
        <v>104.5</v>
      </c>
      <c r="F29">
        <f t="shared" si="2"/>
        <v>5</v>
      </c>
      <c r="G29">
        <f t="shared" ca="1" si="3"/>
        <v>0</v>
      </c>
      <c r="H29">
        <v>1</v>
      </c>
      <c r="I29">
        <f t="shared" si="4"/>
        <v>5</v>
      </c>
      <c r="J29">
        <f t="shared" ca="1" si="5"/>
        <v>6</v>
      </c>
      <c r="K29">
        <v>6</v>
      </c>
      <c r="L29">
        <f t="shared" si="6"/>
        <v>506</v>
      </c>
      <c r="P29" s="2">
        <v>403</v>
      </c>
      <c r="Q29" s="2">
        <v>3001</v>
      </c>
    </row>
    <row r="30" spans="1:17">
      <c r="A30">
        <v>29</v>
      </c>
      <c r="B30">
        <f t="shared" si="0"/>
        <v>3</v>
      </c>
      <c r="C30">
        <f t="shared" si="1"/>
        <v>2003</v>
      </c>
      <c r="D30" t="str">
        <f>VLOOKUP(C30,兵种!$A$2:$B$10,2,FALSE)</f>
        <v>远程恶魔</v>
      </c>
      <c r="E30">
        <f>SUM($B$2:B30)</f>
        <v>107.5</v>
      </c>
      <c r="F30">
        <f t="shared" si="2"/>
        <v>5</v>
      </c>
      <c r="G30">
        <f t="shared" ca="1" si="3"/>
        <v>-1</v>
      </c>
      <c r="H30">
        <v>-2</v>
      </c>
      <c r="I30">
        <f t="shared" si="4"/>
        <v>3</v>
      </c>
      <c r="J30">
        <f t="shared" ca="1" si="5"/>
        <v>5</v>
      </c>
      <c r="K30">
        <v>6</v>
      </c>
      <c r="L30">
        <f t="shared" si="6"/>
        <v>306</v>
      </c>
      <c r="P30" s="2">
        <v>404</v>
      </c>
      <c r="Q30" s="2">
        <v>1002</v>
      </c>
    </row>
    <row r="31" spans="1:17">
      <c r="A31">
        <v>30</v>
      </c>
      <c r="B31">
        <f t="shared" si="0"/>
        <v>3</v>
      </c>
      <c r="C31">
        <f t="shared" si="1"/>
        <v>2003</v>
      </c>
      <c r="D31" t="str">
        <f>VLOOKUP(C31,兵种!$A$2:$B$10,2,FALSE)</f>
        <v>远程恶魔</v>
      </c>
      <c r="E31">
        <f>SUM($B$2:B31)</f>
        <v>110.5</v>
      </c>
      <c r="F31">
        <f t="shared" si="2"/>
        <v>5</v>
      </c>
      <c r="G31">
        <f t="shared" ca="1" si="3"/>
        <v>-1</v>
      </c>
      <c r="H31">
        <v>-2</v>
      </c>
      <c r="I31">
        <f t="shared" si="4"/>
        <v>3</v>
      </c>
      <c r="J31">
        <f t="shared" ca="1" si="5"/>
        <v>6</v>
      </c>
      <c r="K31">
        <v>2</v>
      </c>
      <c r="L31">
        <f t="shared" si="6"/>
        <v>302</v>
      </c>
      <c r="P31" s="2">
        <v>405</v>
      </c>
      <c r="Q31" s="2">
        <v>2001</v>
      </c>
    </row>
    <row r="32" spans="1:17">
      <c r="A32">
        <v>31</v>
      </c>
      <c r="B32">
        <f t="shared" si="0"/>
        <v>4</v>
      </c>
      <c r="C32">
        <f t="shared" si="1"/>
        <v>1001</v>
      </c>
      <c r="D32" t="str">
        <f>VLOOKUP(C32,兵种!$A$2:$B$10,2,FALSE)</f>
        <v>绿巨人</v>
      </c>
      <c r="E32">
        <f>SUM($B$2:B32)</f>
        <v>114.5</v>
      </c>
      <c r="F32">
        <f t="shared" si="2"/>
        <v>5</v>
      </c>
      <c r="G32">
        <f t="shared" ca="1" si="3"/>
        <v>-2</v>
      </c>
      <c r="H32">
        <v>0</v>
      </c>
      <c r="I32">
        <f t="shared" si="4"/>
        <v>5</v>
      </c>
      <c r="J32">
        <f t="shared" ca="1" si="5"/>
        <v>6</v>
      </c>
      <c r="K32">
        <v>3</v>
      </c>
      <c r="L32">
        <f t="shared" si="6"/>
        <v>503</v>
      </c>
      <c r="P32" s="2">
        <v>406</v>
      </c>
      <c r="Q32" s="2">
        <v>3001</v>
      </c>
    </row>
    <row r="33" spans="1:17">
      <c r="A33">
        <v>32</v>
      </c>
      <c r="B33">
        <f t="shared" si="0"/>
        <v>4</v>
      </c>
      <c r="C33">
        <f t="shared" si="1"/>
        <v>1001</v>
      </c>
      <c r="D33" t="str">
        <f>VLOOKUP(C33,兵种!$A$2:$B$10,2,FALSE)</f>
        <v>绿巨人</v>
      </c>
      <c r="E33">
        <f>SUM($B$2:B33)</f>
        <v>118.5</v>
      </c>
      <c r="F33">
        <f t="shared" si="2"/>
        <v>5</v>
      </c>
      <c r="G33">
        <f t="shared" ca="1" si="3"/>
        <v>2</v>
      </c>
      <c r="H33">
        <v>0</v>
      </c>
      <c r="I33">
        <f t="shared" si="4"/>
        <v>5</v>
      </c>
      <c r="J33">
        <f t="shared" ca="1" si="5"/>
        <v>5</v>
      </c>
      <c r="K33">
        <v>2</v>
      </c>
      <c r="L33">
        <f t="shared" si="6"/>
        <v>502</v>
      </c>
      <c r="P33" s="2">
        <v>501</v>
      </c>
      <c r="Q33" s="2">
        <v>1001</v>
      </c>
    </row>
    <row r="34" spans="1:17">
      <c r="A34">
        <v>33</v>
      </c>
      <c r="B34">
        <f t="shared" si="0"/>
        <v>4.5</v>
      </c>
      <c r="C34">
        <f t="shared" si="1"/>
        <v>1001</v>
      </c>
      <c r="D34" t="str">
        <f>VLOOKUP(C34,兵种!$A$2:$B$10,2,FALSE)</f>
        <v>绿巨人</v>
      </c>
      <c r="E34">
        <f>SUM($B$2:B34)</f>
        <v>123</v>
      </c>
      <c r="F34">
        <f t="shared" si="2"/>
        <v>5</v>
      </c>
      <c r="G34">
        <f t="shared" ca="1" si="3"/>
        <v>0</v>
      </c>
      <c r="H34">
        <v>1</v>
      </c>
      <c r="I34">
        <f t="shared" si="4"/>
        <v>5</v>
      </c>
      <c r="J34">
        <f t="shared" ca="1" si="5"/>
        <v>1</v>
      </c>
      <c r="K34">
        <v>5</v>
      </c>
      <c r="L34">
        <f t="shared" si="6"/>
        <v>505</v>
      </c>
      <c r="P34" s="90">
        <v>502</v>
      </c>
      <c r="Q34" s="2">
        <v>1001</v>
      </c>
    </row>
    <row r="35" spans="1:17">
      <c r="A35">
        <v>34</v>
      </c>
      <c r="B35">
        <f t="shared" si="0"/>
        <v>3.5</v>
      </c>
      <c r="C35">
        <f t="shared" si="1"/>
        <v>3001</v>
      </c>
      <c r="D35" t="str">
        <f>VLOOKUP(C35,兵种!$A$2:$B$10,2,FALSE)</f>
        <v>黄帽子</v>
      </c>
      <c r="E35">
        <f>SUM($B$2:B35)</f>
        <v>126.5</v>
      </c>
      <c r="F35">
        <f t="shared" si="2"/>
        <v>5</v>
      </c>
      <c r="G35">
        <f t="shared" ca="1" si="3"/>
        <v>-2</v>
      </c>
      <c r="H35">
        <v>-1</v>
      </c>
      <c r="I35">
        <f t="shared" si="4"/>
        <v>4</v>
      </c>
      <c r="J35">
        <f t="shared" ca="1" si="5"/>
        <v>6</v>
      </c>
      <c r="K35">
        <v>3</v>
      </c>
      <c r="L35">
        <f t="shared" si="6"/>
        <v>403</v>
      </c>
      <c r="P35" s="2">
        <v>503</v>
      </c>
      <c r="Q35" s="2">
        <v>1001</v>
      </c>
    </row>
    <row r="36" spans="1:17">
      <c r="A36">
        <v>35</v>
      </c>
      <c r="B36">
        <f t="shared" si="0"/>
        <v>4.5</v>
      </c>
      <c r="C36">
        <f t="shared" si="1"/>
        <v>1001</v>
      </c>
      <c r="D36" t="str">
        <f>VLOOKUP(C36,兵种!$A$2:$B$10,2,FALSE)</f>
        <v>绿巨人</v>
      </c>
      <c r="E36">
        <f>SUM($B$2:B36)</f>
        <v>131</v>
      </c>
      <c r="F36">
        <f t="shared" si="2"/>
        <v>5</v>
      </c>
      <c r="G36">
        <f t="shared" ca="1" si="3"/>
        <v>-1</v>
      </c>
      <c r="H36">
        <v>1</v>
      </c>
      <c r="I36">
        <f t="shared" si="4"/>
        <v>5</v>
      </c>
      <c r="J36">
        <f t="shared" ca="1" si="5"/>
        <v>6</v>
      </c>
      <c r="K36">
        <v>3</v>
      </c>
      <c r="L36">
        <f t="shared" si="6"/>
        <v>503</v>
      </c>
      <c r="P36" s="90">
        <v>504</v>
      </c>
      <c r="Q36" s="2">
        <v>1001</v>
      </c>
    </row>
    <row r="37" spans="1:17">
      <c r="A37">
        <v>36</v>
      </c>
      <c r="B37">
        <f t="shared" si="0"/>
        <v>4</v>
      </c>
      <c r="C37">
        <f t="shared" si="1"/>
        <v>1001</v>
      </c>
      <c r="D37" t="str">
        <f>VLOOKUP(C37,兵种!$A$2:$B$10,2,FALSE)</f>
        <v>绿巨人</v>
      </c>
      <c r="E37">
        <f>SUM($B$2:B37)</f>
        <v>135</v>
      </c>
      <c r="F37">
        <f t="shared" si="2"/>
        <v>5</v>
      </c>
      <c r="G37">
        <f t="shared" ca="1" si="3"/>
        <v>0</v>
      </c>
      <c r="H37">
        <v>0</v>
      </c>
      <c r="I37">
        <f t="shared" si="4"/>
        <v>5</v>
      </c>
      <c r="J37">
        <f t="shared" ca="1" si="5"/>
        <v>2</v>
      </c>
      <c r="K37">
        <v>2</v>
      </c>
      <c r="L37">
        <f t="shared" si="6"/>
        <v>502</v>
      </c>
      <c r="P37" s="2">
        <v>505</v>
      </c>
      <c r="Q37" s="2">
        <v>1001</v>
      </c>
    </row>
    <row r="38" spans="1:17">
      <c r="A38">
        <v>37</v>
      </c>
      <c r="B38">
        <f t="shared" si="0"/>
        <v>3</v>
      </c>
      <c r="C38">
        <f t="shared" si="1"/>
        <v>1003</v>
      </c>
      <c r="D38" t="str">
        <f>VLOOKUP(C38,兵种!$A$2:$B$10,2,FALSE)</f>
        <v>近战恶魔</v>
      </c>
      <c r="E38">
        <f>SUM($B$2:B38)</f>
        <v>138</v>
      </c>
      <c r="F38">
        <f t="shared" si="2"/>
        <v>5</v>
      </c>
      <c r="G38">
        <f t="shared" ca="1" si="3"/>
        <v>1</v>
      </c>
      <c r="H38">
        <v>-2</v>
      </c>
      <c r="I38">
        <f t="shared" si="4"/>
        <v>3</v>
      </c>
      <c r="J38">
        <f t="shared" ca="1" si="5"/>
        <v>6</v>
      </c>
      <c r="K38">
        <v>1</v>
      </c>
      <c r="L38">
        <f t="shared" si="6"/>
        <v>301</v>
      </c>
      <c r="P38" s="90">
        <v>506</v>
      </c>
      <c r="Q38" s="2">
        <v>1001</v>
      </c>
    </row>
    <row r="39" spans="1:17">
      <c r="A39">
        <v>38</v>
      </c>
      <c r="B39">
        <f t="shared" si="0"/>
        <v>3.5</v>
      </c>
      <c r="C39">
        <f t="shared" si="1"/>
        <v>2001</v>
      </c>
      <c r="D39" t="str">
        <f>VLOOKUP(C39,兵种!$A$2:$B$10,2,FALSE)</f>
        <v>奶嘴</v>
      </c>
      <c r="E39">
        <f>SUM($B$2:B39)</f>
        <v>141.5</v>
      </c>
      <c r="F39">
        <f t="shared" si="2"/>
        <v>5</v>
      </c>
      <c r="G39">
        <f t="shared" ca="1" si="3"/>
        <v>1</v>
      </c>
      <c r="H39">
        <v>-1</v>
      </c>
      <c r="I39">
        <f t="shared" si="4"/>
        <v>4</v>
      </c>
      <c r="J39">
        <f t="shared" ca="1" si="5"/>
        <v>1</v>
      </c>
      <c r="K39">
        <v>2</v>
      </c>
      <c r="L39">
        <f t="shared" si="6"/>
        <v>402</v>
      </c>
    </row>
    <row r="40" spans="1:17">
      <c r="A40">
        <v>39</v>
      </c>
      <c r="B40">
        <f t="shared" si="0"/>
        <v>4</v>
      </c>
      <c r="C40">
        <f t="shared" si="1"/>
        <v>1001</v>
      </c>
      <c r="D40" t="str">
        <f>VLOOKUP(C40,兵种!$A$2:$B$10,2,FALSE)</f>
        <v>绿巨人</v>
      </c>
      <c r="E40">
        <f>SUM($B$2:B40)</f>
        <v>145.5</v>
      </c>
      <c r="F40">
        <f t="shared" si="2"/>
        <v>5</v>
      </c>
      <c r="G40">
        <f t="shared" ca="1" si="3"/>
        <v>-2</v>
      </c>
      <c r="H40">
        <v>0</v>
      </c>
      <c r="I40">
        <f t="shared" si="4"/>
        <v>5</v>
      </c>
      <c r="J40">
        <f t="shared" ca="1" si="5"/>
        <v>5</v>
      </c>
      <c r="K40">
        <v>3</v>
      </c>
      <c r="L40">
        <f t="shared" si="6"/>
        <v>503</v>
      </c>
    </row>
    <row r="41" spans="1:17">
      <c r="A41">
        <v>40</v>
      </c>
      <c r="B41">
        <f t="shared" si="0"/>
        <v>3</v>
      </c>
      <c r="C41">
        <f t="shared" si="1"/>
        <v>2003</v>
      </c>
      <c r="D41" t="str">
        <f>VLOOKUP(C41,兵种!$A$2:$B$10,2,FALSE)</f>
        <v>远程恶魔</v>
      </c>
      <c r="E41">
        <f>SUM($B$2:B41)</f>
        <v>148.5</v>
      </c>
      <c r="F41">
        <f t="shared" si="2"/>
        <v>5</v>
      </c>
      <c r="G41">
        <f t="shared" ca="1" si="3"/>
        <v>2</v>
      </c>
      <c r="H41">
        <v>-2</v>
      </c>
      <c r="I41">
        <f t="shared" si="4"/>
        <v>3</v>
      </c>
      <c r="J41">
        <f t="shared" ca="1" si="5"/>
        <v>4</v>
      </c>
      <c r="K41">
        <v>6</v>
      </c>
      <c r="L41">
        <f t="shared" si="6"/>
        <v>306</v>
      </c>
    </row>
    <row r="42" spans="1:17">
      <c r="A42">
        <v>41</v>
      </c>
      <c r="B42">
        <f t="shared" si="0"/>
        <v>5</v>
      </c>
      <c r="C42">
        <f t="shared" si="1"/>
        <v>1001</v>
      </c>
      <c r="D42" t="str">
        <f>VLOOKUP(C42,兵种!$A$2:$B$10,2,FALSE)</f>
        <v>绿巨人</v>
      </c>
      <c r="E42">
        <f>SUM($B$2:B42)</f>
        <v>153.5</v>
      </c>
      <c r="F42">
        <f t="shared" si="2"/>
        <v>5</v>
      </c>
      <c r="G42">
        <f t="shared" ca="1" si="3"/>
        <v>-1</v>
      </c>
      <c r="H42">
        <v>2</v>
      </c>
      <c r="I42">
        <f t="shared" si="4"/>
        <v>5</v>
      </c>
      <c r="J42">
        <f t="shared" ca="1" si="5"/>
        <v>6</v>
      </c>
      <c r="K42">
        <v>2</v>
      </c>
      <c r="L42">
        <f t="shared" si="6"/>
        <v>502</v>
      </c>
    </row>
    <row r="43" spans="1:17">
      <c r="A43">
        <v>42</v>
      </c>
      <c r="B43">
        <f t="shared" si="0"/>
        <v>3.5</v>
      </c>
      <c r="C43">
        <f t="shared" si="1"/>
        <v>2001</v>
      </c>
      <c r="D43" t="str">
        <f>VLOOKUP(C43,兵种!$A$2:$B$10,2,FALSE)</f>
        <v>奶嘴</v>
      </c>
      <c r="E43">
        <f>SUM($B$2:B43)</f>
        <v>157</v>
      </c>
      <c r="F43">
        <f t="shared" si="2"/>
        <v>5</v>
      </c>
      <c r="G43">
        <f t="shared" ca="1" si="3"/>
        <v>2</v>
      </c>
      <c r="H43">
        <v>-1</v>
      </c>
      <c r="I43">
        <f t="shared" si="4"/>
        <v>4</v>
      </c>
      <c r="J43">
        <f t="shared" ca="1" si="5"/>
        <v>5</v>
      </c>
      <c r="K43">
        <v>2</v>
      </c>
      <c r="L43">
        <f t="shared" si="6"/>
        <v>402</v>
      </c>
    </row>
    <row r="44" spans="1:17">
      <c r="A44">
        <v>43</v>
      </c>
      <c r="B44">
        <f t="shared" si="0"/>
        <v>3.5</v>
      </c>
      <c r="C44">
        <f t="shared" si="1"/>
        <v>2001</v>
      </c>
      <c r="D44" t="str">
        <f>VLOOKUP(C44,兵种!$A$2:$B$10,2,FALSE)</f>
        <v>奶嘴</v>
      </c>
      <c r="E44">
        <f>SUM($B$2:B44)</f>
        <v>160.5</v>
      </c>
      <c r="F44">
        <f t="shared" si="2"/>
        <v>5</v>
      </c>
      <c r="G44">
        <f t="shared" ca="1" si="3"/>
        <v>-2</v>
      </c>
      <c r="H44">
        <v>-1</v>
      </c>
      <c r="I44">
        <f t="shared" si="4"/>
        <v>4</v>
      </c>
      <c r="J44">
        <f t="shared" ca="1" si="5"/>
        <v>5</v>
      </c>
      <c r="K44">
        <v>2</v>
      </c>
      <c r="L44">
        <f t="shared" si="6"/>
        <v>402</v>
      </c>
    </row>
    <row r="45" spans="1:17">
      <c r="A45">
        <v>44</v>
      </c>
      <c r="B45">
        <f t="shared" si="0"/>
        <v>3</v>
      </c>
      <c r="C45">
        <f t="shared" si="1"/>
        <v>2003</v>
      </c>
      <c r="D45" t="str">
        <f>VLOOKUP(C45,兵种!$A$2:$B$10,2,FALSE)</f>
        <v>远程恶魔</v>
      </c>
      <c r="E45">
        <f>SUM($B$2:B45)</f>
        <v>163.5</v>
      </c>
      <c r="F45">
        <f t="shared" si="2"/>
        <v>5</v>
      </c>
      <c r="G45">
        <f t="shared" ca="1" si="3"/>
        <v>-1</v>
      </c>
      <c r="H45">
        <v>-2</v>
      </c>
      <c r="I45">
        <f t="shared" si="4"/>
        <v>3</v>
      </c>
      <c r="J45">
        <f t="shared" ca="1" si="5"/>
        <v>3</v>
      </c>
      <c r="K45">
        <v>2</v>
      </c>
      <c r="L45">
        <f t="shared" si="6"/>
        <v>302</v>
      </c>
    </row>
    <row r="46" spans="1:17">
      <c r="A46">
        <v>45</v>
      </c>
      <c r="B46">
        <f t="shared" si="0"/>
        <v>4</v>
      </c>
      <c r="C46">
        <f t="shared" si="1"/>
        <v>1001</v>
      </c>
      <c r="D46" t="str">
        <f>VLOOKUP(C46,兵种!$A$2:$B$10,2,FALSE)</f>
        <v>绿巨人</v>
      </c>
      <c r="E46">
        <f>SUM($B$2:B46)</f>
        <v>167.5</v>
      </c>
      <c r="F46">
        <f t="shared" si="2"/>
        <v>5</v>
      </c>
      <c r="G46">
        <f t="shared" ca="1" si="3"/>
        <v>1</v>
      </c>
      <c r="H46">
        <v>0</v>
      </c>
      <c r="I46">
        <f t="shared" si="4"/>
        <v>5</v>
      </c>
      <c r="J46">
        <f t="shared" ca="1" si="5"/>
        <v>5</v>
      </c>
      <c r="K46">
        <v>5</v>
      </c>
      <c r="L46">
        <f t="shared" si="6"/>
        <v>505</v>
      </c>
    </row>
    <row r="47" spans="1:17">
      <c r="A47">
        <v>46</v>
      </c>
      <c r="B47">
        <f t="shared" si="0"/>
        <v>5</v>
      </c>
      <c r="C47">
        <f t="shared" si="1"/>
        <v>1001</v>
      </c>
      <c r="D47" t="str">
        <f>VLOOKUP(C47,兵种!$A$2:$B$10,2,FALSE)</f>
        <v>绿巨人</v>
      </c>
      <c r="E47">
        <f>SUM($B$2:B47)</f>
        <v>172.5</v>
      </c>
      <c r="F47">
        <f t="shared" si="2"/>
        <v>5</v>
      </c>
      <c r="G47">
        <f t="shared" ca="1" si="3"/>
        <v>-1</v>
      </c>
      <c r="H47">
        <v>2</v>
      </c>
      <c r="I47">
        <f t="shared" si="4"/>
        <v>5</v>
      </c>
      <c r="J47">
        <f t="shared" ca="1" si="5"/>
        <v>6</v>
      </c>
      <c r="K47">
        <v>5</v>
      </c>
      <c r="L47">
        <f t="shared" si="6"/>
        <v>505</v>
      </c>
    </row>
    <row r="48" spans="1:17">
      <c r="A48">
        <v>47</v>
      </c>
      <c r="B48">
        <f t="shared" si="0"/>
        <v>3</v>
      </c>
      <c r="C48">
        <f t="shared" si="1"/>
        <v>2003</v>
      </c>
      <c r="D48" t="str">
        <f>VLOOKUP(C48,兵种!$A$2:$B$10,2,FALSE)</f>
        <v>远程恶魔</v>
      </c>
      <c r="E48">
        <f>SUM($B$2:B48)</f>
        <v>175.5</v>
      </c>
      <c r="F48">
        <f t="shared" si="2"/>
        <v>5</v>
      </c>
      <c r="G48">
        <f t="shared" ca="1" si="3"/>
        <v>1</v>
      </c>
      <c r="H48">
        <v>-2</v>
      </c>
      <c r="I48">
        <f t="shared" si="4"/>
        <v>3</v>
      </c>
      <c r="J48">
        <f t="shared" ca="1" si="5"/>
        <v>2</v>
      </c>
      <c r="K48">
        <v>6</v>
      </c>
      <c r="L48">
        <f t="shared" si="6"/>
        <v>306</v>
      </c>
    </row>
    <row r="49" spans="1:12">
      <c r="A49">
        <v>48</v>
      </c>
      <c r="B49">
        <f t="shared" si="0"/>
        <v>4</v>
      </c>
      <c r="C49">
        <f t="shared" si="1"/>
        <v>1001</v>
      </c>
      <c r="D49" t="str">
        <f>VLOOKUP(C49,兵种!$A$2:$B$10,2,FALSE)</f>
        <v>绿巨人</v>
      </c>
      <c r="E49">
        <f>SUM($B$2:B49)</f>
        <v>179.5</v>
      </c>
      <c r="F49">
        <f t="shared" si="2"/>
        <v>5</v>
      </c>
      <c r="G49">
        <f t="shared" ca="1" si="3"/>
        <v>-1</v>
      </c>
      <c r="H49">
        <v>0</v>
      </c>
      <c r="I49">
        <f t="shared" si="4"/>
        <v>5</v>
      </c>
      <c r="J49">
        <f t="shared" ca="1" si="5"/>
        <v>2</v>
      </c>
      <c r="K49">
        <v>3</v>
      </c>
      <c r="L49">
        <f t="shared" si="6"/>
        <v>503</v>
      </c>
    </row>
    <row r="50" spans="1:12">
      <c r="A50">
        <v>49</v>
      </c>
      <c r="B50">
        <f t="shared" si="0"/>
        <v>3.5</v>
      </c>
      <c r="C50">
        <f t="shared" si="1"/>
        <v>3001</v>
      </c>
      <c r="D50" t="str">
        <f>VLOOKUP(C50,兵种!$A$2:$B$10,2,FALSE)</f>
        <v>黄帽子</v>
      </c>
      <c r="E50">
        <f>SUM($B$2:B50)</f>
        <v>183</v>
      </c>
      <c r="F50">
        <f t="shared" si="2"/>
        <v>5</v>
      </c>
      <c r="G50">
        <f t="shared" ca="1" si="3"/>
        <v>0</v>
      </c>
      <c r="H50">
        <v>-1</v>
      </c>
      <c r="I50">
        <f t="shared" si="4"/>
        <v>4</v>
      </c>
      <c r="J50">
        <f t="shared" ca="1" si="5"/>
        <v>3</v>
      </c>
      <c r="K50">
        <v>3</v>
      </c>
      <c r="L50">
        <f t="shared" si="6"/>
        <v>403</v>
      </c>
    </row>
    <row r="51" spans="1:12">
      <c r="A51">
        <v>50</v>
      </c>
      <c r="B51">
        <f t="shared" si="0"/>
        <v>5</v>
      </c>
      <c r="C51">
        <f t="shared" si="1"/>
        <v>1001</v>
      </c>
      <c r="D51" t="str">
        <f>VLOOKUP(C51,兵种!$A$2:$B$10,2,FALSE)</f>
        <v>绿巨人</v>
      </c>
      <c r="E51">
        <f>SUM($B$2:B51)</f>
        <v>188</v>
      </c>
      <c r="F51">
        <f t="shared" si="2"/>
        <v>5</v>
      </c>
      <c r="G51">
        <f t="shared" ca="1" si="3"/>
        <v>-1</v>
      </c>
      <c r="H51">
        <v>2</v>
      </c>
      <c r="I51">
        <f t="shared" si="4"/>
        <v>5</v>
      </c>
      <c r="J51">
        <f t="shared" ca="1" si="5"/>
        <v>5</v>
      </c>
      <c r="K51">
        <v>6</v>
      </c>
      <c r="L51">
        <f t="shared" si="6"/>
        <v>506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A5" sqref="A5:XFD5"/>
    </sheetView>
  </sheetViews>
  <sheetFormatPr defaultRowHeight="13.5"/>
  <cols>
    <col min="2" max="2" width="9" customWidth="1"/>
    <col min="5" max="5" width="9" customWidth="1"/>
  </cols>
  <sheetData>
    <row r="1" spans="1:13" s="14" customFormat="1">
      <c r="A1" s="20" t="s">
        <v>115</v>
      </c>
      <c r="B1" s="21" t="s">
        <v>52</v>
      </c>
      <c r="C1" s="21" t="s">
        <v>116</v>
      </c>
      <c r="D1" s="87" t="s">
        <v>150</v>
      </c>
      <c r="E1" s="87"/>
      <c r="F1" s="87"/>
      <c r="G1" s="87"/>
      <c r="H1" s="87"/>
      <c r="I1" s="87"/>
      <c r="J1" s="21" t="s">
        <v>39</v>
      </c>
      <c r="K1" s="21" t="s">
        <v>40</v>
      </c>
      <c r="L1" s="21" t="s">
        <v>42</v>
      </c>
      <c r="M1" s="36" t="s">
        <v>19</v>
      </c>
    </row>
    <row r="2" spans="1:13">
      <c r="A2">
        <v>1</v>
      </c>
      <c r="B2" t="s">
        <v>105</v>
      </c>
      <c r="C2" t="s">
        <v>142</v>
      </c>
      <c r="D2" s="33" t="s">
        <v>219</v>
      </c>
      <c r="E2" s="33"/>
      <c r="F2" s="33"/>
      <c r="G2" s="33"/>
      <c r="H2" s="33"/>
      <c r="I2" s="33"/>
      <c r="J2" t="s">
        <v>144</v>
      </c>
    </row>
    <row r="3" spans="1:13">
      <c r="A3">
        <v>2</v>
      </c>
      <c r="B3" t="s">
        <v>106</v>
      </c>
      <c r="C3" t="s">
        <v>142</v>
      </c>
      <c r="D3" s="33" t="s">
        <v>139</v>
      </c>
      <c r="E3" s="33"/>
      <c r="F3" s="33"/>
      <c r="G3" s="33"/>
      <c r="H3" s="33"/>
      <c r="I3" s="33"/>
      <c r="J3" t="s">
        <v>144</v>
      </c>
      <c r="K3" t="s">
        <v>117</v>
      </c>
    </row>
    <row r="4" spans="1:13">
      <c r="A4">
        <v>3</v>
      </c>
      <c r="B4" t="s">
        <v>125</v>
      </c>
      <c r="C4" t="s">
        <v>142</v>
      </c>
      <c r="D4" s="33" t="s">
        <v>220</v>
      </c>
      <c r="E4" s="33"/>
      <c r="F4" s="33"/>
      <c r="G4" s="33"/>
      <c r="H4" s="33"/>
      <c r="I4" s="33"/>
      <c r="J4" t="s">
        <v>144</v>
      </c>
      <c r="M4" t="s">
        <v>146</v>
      </c>
    </row>
    <row r="5" spans="1:13">
      <c r="A5">
        <v>4</v>
      </c>
      <c r="B5" t="s">
        <v>140</v>
      </c>
      <c r="C5" t="s">
        <v>141</v>
      </c>
      <c r="D5" s="33" t="s">
        <v>145</v>
      </c>
      <c r="E5" s="33"/>
      <c r="F5" s="33"/>
      <c r="G5" s="33"/>
      <c r="H5" s="33"/>
      <c r="I5" s="33"/>
      <c r="J5" t="s">
        <v>144</v>
      </c>
      <c r="K5" s="55" t="s">
        <v>221</v>
      </c>
      <c r="L5" s="56" t="s">
        <v>149</v>
      </c>
      <c r="M5" t="s">
        <v>223</v>
      </c>
    </row>
    <row r="6" spans="1:13">
      <c r="A6">
        <v>5</v>
      </c>
      <c r="B6" t="s">
        <v>137</v>
      </c>
      <c r="C6" t="s">
        <v>226</v>
      </c>
      <c r="D6" s="54" t="s">
        <v>218</v>
      </c>
      <c r="E6" s="33"/>
      <c r="F6" s="33"/>
      <c r="G6" s="33"/>
      <c r="H6" s="33"/>
      <c r="I6" s="33"/>
      <c r="J6" t="s">
        <v>144</v>
      </c>
      <c r="K6" t="s">
        <v>138</v>
      </c>
      <c r="L6" t="s">
        <v>198</v>
      </c>
      <c r="M6" s="57" t="s">
        <v>204</v>
      </c>
    </row>
    <row r="7" spans="1:13">
      <c r="A7">
        <v>6</v>
      </c>
      <c r="B7" t="s">
        <v>136</v>
      </c>
      <c r="C7" t="s">
        <v>225</v>
      </c>
      <c r="D7" s="54" t="s">
        <v>217</v>
      </c>
      <c r="E7" s="33"/>
      <c r="F7" s="33"/>
      <c r="G7" s="33"/>
      <c r="H7" s="33"/>
      <c r="I7" s="33"/>
      <c r="J7" t="s">
        <v>144</v>
      </c>
      <c r="K7" t="s">
        <v>222</v>
      </c>
      <c r="L7" t="s">
        <v>148</v>
      </c>
      <c r="M7" t="s">
        <v>147</v>
      </c>
    </row>
    <row r="8" spans="1:13">
      <c r="A8">
        <v>7</v>
      </c>
      <c r="B8" s="55" t="s">
        <v>224</v>
      </c>
      <c r="C8" t="s">
        <v>225</v>
      </c>
      <c r="D8" s="58" t="s">
        <v>229</v>
      </c>
      <c r="J8" t="s">
        <v>144</v>
      </c>
      <c r="K8" t="s">
        <v>221</v>
      </c>
      <c r="L8" t="s">
        <v>227</v>
      </c>
      <c r="M8" t="s">
        <v>228</v>
      </c>
    </row>
    <row r="9" spans="1:13">
      <c r="A9">
        <v>8</v>
      </c>
      <c r="B9" t="s">
        <v>245</v>
      </c>
      <c r="C9" t="s">
        <v>246</v>
      </c>
      <c r="D9" s="58" t="s">
        <v>247</v>
      </c>
      <c r="J9" t="s">
        <v>144</v>
      </c>
      <c r="K9" t="s">
        <v>248</v>
      </c>
    </row>
    <row r="11" spans="1:13">
      <c r="B11" s="37" t="s">
        <v>151</v>
      </c>
    </row>
    <row r="12" spans="1:13">
      <c r="B12" s="37"/>
    </row>
    <row r="13" spans="1:13">
      <c r="B13" s="37"/>
      <c r="C13" t="s">
        <v>152</v>
      </c>
    </row>
    <row r="14" spans="1:13">
      <c r="B14" s="37"/>
    </row>
    <row r="15" spans="1:13" s="10" customFormat="1">
      <c r="B15" s="16" t="s">
        <v>143</v>
      </c>
    </row>
    <row r="17" spans="2:10">
      <c r="C17" t="s">
        <v>153</v>
      </c>
    </row>
    <row r="19" spans="2:10">
      <c r="B19" s="31" t="s">
        <v>199</v>
      </c>
    </row>
    <row r="21" spans="2:10">
      <c r="C21" t="s">
        <v>200</v>
      </c>
    </row>
    <row r="23" spans="2:10">
      <c r="C23" t="s">
        <v>201</v>
      </c>
    </row>
    <row r="25" spans="2:10">
      <c r="C25" t="s">
        <v>206</v>
      </c>
    </row>
    <row r="27" spans="2:10">
      <c r="C27" s="31" t="s">
        <v>202</v>
      </c>
      <c r="J27" s="31" t="s">
        <v>203</v>
      </c>
    </row>
    <row r="28" spans="2:10">
      <c r="C28" s="37" t="s">
        <v>215</v>
      </c>
      <c r="J28" s="37" t="s">
        <v>216</v>
      </c>
    </row>
    <row r="30" spans="2:10">
      <c r="C30" t="s">
        <v>205</v>
      </c>
      <c r="J30" t="s">
        <v>209</v>
      </c>
    </row>
    <row r="32" spans="2:10">
      <c r="C32" t="s">
        <v>208</v>
      </c>
      <c r="J32" t="s">
        <v>210</v>
      </c>
    </row>
    <row r="34" spans="3:10">
      <c r="C34" t="s">
        <v>207</v>
      </c>
      <c r="J34" t="s">
        <v>211</v>
      </c>
    </row>
    <row r="36" spans="3:10">
      <c r="C36" t="s">
        <v>212</v>
      </c>
      <c r="J36" t="s">
        <v>212</v>
      </c>
    </row>
    <row r="38" spans="3:10">
      <c r="C38" s="31" t="s">
        <v>213</v>
      </c>
      <c r="J38" s="31" t="s">
        <v>214</v>
      </c>
    </row>
  </sheetData>
  <mergeCells count="1"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G33" sqref="G33"/>
    </sheetView>
  </sheetViews>
  <sheetFormatPr defaultRowHeight="13.5"/>
  <cols>
    <col min="1" max="1" width="9" style="1"/>
    <col min="2" max="2" width="14.75" style="1" customWidth="1"/>
    <col min="3" max="5" width="9" style="1"/>
    <col min="6" max="6" width="9" style="10"/>
  </cols>
  <sheetData>
    <row r="1" spans="1:6" s="14" customFormat="1">
      <c r="A1" s="15" t="s">
        <v>35</v>
      </c>
      <c r="B1" s="15" t="s">
        <v>36</v>
      </c>
      <c r="C1" s="15" t="s">
        <v>39</v>
      </c>
      <c r="D1" s="15" t="s">
        <v>41</v>
      </c>
      <c r="E1" s="15" t="s">
        <v>43</v>
      </c>
      <c r="F1" s="17" t="s">
        <v>19</v>
      </c>
    </row>
    <row r="2" spans="1:6">
      <c r="A2" s="1">
        <v>1</v>
      </c>
      <c r="B2" s="1" t="s">
        <v>47</v>
      </c>
      <c r="C2" s="1" t="s">
        <v>46</v>
      </c>
      <c r="F2" s="10" t="s">
        <v>48</v>
      </c>
    </row>
    <row r="3" spans="1:6">
      <c r="A3" s="1">
        <v>2</v>
      </c>
      <c r="B3" s="1" t="s">
        <v>38</v>
      </c>
      <c r="C3" s="1" t="s">
        <v>18</v>
      </c>
      <c r="D3" s="1" t="s">
        <v>44</v>
      </c>
      <c r="E3" s="1" t="s">
        <v>45</v>
      </c>
      <c r="F3" s="18" t="s">
        <v>49</v>
      </c>
    </row>
    <row r="4" spans="1:6">
      <c r="A4" s="1">
        <v>3</v>
      </c>
      <c r="B4" s="1" t="s">
        <v>37</v>
      </c>
      <c r="C4" s="1" t="s">
        <v>18</v>
      </c>
      <c r="D4" s="1" t="s">
        <v>50</v>
      </c>
      <c r="E4" s="47"/>
      <c r="F4" s="10" t="s">
        <v>167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>
      <selection activeCell="B11" sqref="B11"/>
    </sheetView>
  </sheetViews>
  <sheetFormatPr defaultRowHeight="13.5"/>
  <sheetData>
    <row r="1" spans="1:16" s="14" customFormat="1">
      <c r="A1" s="45" t="str">
        <f>兵种!A1</f>
        <v>兵种ID</v>
      </c>
      <c r="B1" s="52" t="str">
        <f>兵种!B1</f>
        <v>名称</v>
      </c>
      <c r="C1" s="52" t="str">
        <f>兵种!C1</f>
        <v>类型</v>
      </c>
      <c r="D1" s="52" t="str">
        <f>兵种!D1</f>
        <v>费用</v>
      </c>
      <c r="E1" s="52" t="str">
        <f>兵种!E1</f>
        <v>攻击ID</v>
      </c>
      <c r="F1" s="52" t="str">
        <f>兵种!F1</f>
        <v>技能ID</v>
      </c>
      <c r="G1" s="52" t="str">
        <f>兵种!G1</f>
        <v>射程</v>
      </c>
      <c r="H1" s="52" t="str">
        <f>兵种!H1</f>
        <v>攻击力</v>
      </c>
      <c r="I1" s="52" t="str">
        <f>兵种!I1</f>
        <v>血量上限</v>
      </c>
      <c r="J1" s="52" t="str">
        <f>兵种!J1</f>
        <v>移动速度</v>
      </c>
      <c r="K1" s="52" t="str">
        <f>兵种!K1</f>
        <v>攻击频率</v>
      </c>
      <c r="L1" s="52" t="str">
        <f>兵种!L1</f>
        <v>强化参数</v>
      </c>
      <c r="M1" s="52" t="str">
        <f>兵种!M1</f>
        <v>角色资源</v>
      </c>
      <c r="N1" s="52" t="str">
        <f>兵种!N1</f>
        <v>缩放系数</v>
      </c>
      <c r="O1" s="52" t="str">
        <f>兵种!O1</f>
        <v>碰撞半径</v>
      </c>
      <c r="P1" s="52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5</v>
      </c>
      <c r="E2">
        <f>兵种!E2</f>
        <v>1001</v>
      </c>
      <c r="F2">
        <f>兵种!F2</f>
        <v>1001</v>
      </c>
      <c r="G2">
        <f>兵种!G2</f>
        <v>1</v>
      </c>
      <c r="H2">
        <f>兵种!H2</f>
        <v>33</v>
      </c>
      <c r="I2">
        <f>兵种!I2</f>
        <v>1059</v>
      </c>
      <c r="J2">
        <f>兵种!J2</f>
        <v>1</v>
      </c>
      <c r="K2">
        <f>兵种!K2</f>
        <v>0.5</v>
      </c>
      <c r="L2">
        <f>兵种!L2</f>
        <v>2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4</v>
      </c>
      <c r="E3">
        <f>兵种!E3</f>
        <v>1002</v>
      </c>
      <c r="F3">
        <f>兵种!F3</f>
        <v>1002</v>
      </c>
      <c r="G3">
        <f>兵种!G3</f>
        <v>2</v>
      </c>
      <c r="H3">
        <f>兵种!H3</f>
        <v>50</v>
      </c>
      <c r="I3">
        <f>兵种!I3</f>
        <v>871</v>
      </c>
      <c r="J3">
        <f>兵种!J3</f>
        <v>2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3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28</v>
      </c>
      <c r="I4">
        <f>兵种!I4</f>
        <v>641</v>
      </c>
      <c r="J4">
        <f>兵种!J4</f>
        <v>1.5</v>
      </c>
      <c r="K4">
        <f>兵种!K4</f>
        <v>0.75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4</v>
      </c>
      <c r="E5">
        <f>兵种!E5</f>
        <v>2001</v>
      </c>
      <c r="F5">
        <f>兵种!F5</f>
        <v>2001</v>
      </c>
      <c r="G5">
        <f>兵种!G5</f>
        <v>9</v>
      </c>
      <c r="H5">
        <f>兵种!H5</f>
        <v>200</v>
      </c>
      <c r="I5">
        <f>兵种!I5</f>
        <v>301</v>
      </c>
      <c r="J5">
        <f>兵种!J5</f>
        <v>0.5</v>
      </c>
      <c r="K5">
        <f>兵种!K5</f>
        <v>0.25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2</v>
      </c>
      <c r="E6">
        <f>兵种!E6</f>
        <v>2002</v>
      </c>
      <c r="F6">
        <f>兵种!F6</f>
        <v>2002</v>
      </c>
      <c r="G6">
        <f>兵种!G6</f>
        <v>6</v>
      </c>
      <c r="H6">
        <f>兵种!H6</f>
        <v>39</v>
      </c>
      <c r="I6">
        <f>兵种!I6</f>
        <v>97</v>
      </c>
      <c r="J6">
        <f>兵种!J6</f>
        <v>1</v>
      </c>
      <c r="K6">
        <f>兵种!K6</f>
        <v>0.75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3</v>
      </c>
      <c r="E7">
        <f>兵种!E7</f>
        <v>2003</v>
      </c>
      <c r="F7">
        <f>兵种!F7</f>
        <v>2003</v>
      </c>
      <c r="G7">
        <f>兵种!G7</f>
        <v>4</v>
      </c>
      <c r="H7">
        <f>兵种!H7</f>
        <v>85</v>
      </c>
      <c r="I7">
        <f>兵种!I7</f>
        <v>229</v>
      </c>
      <c r="J7">
        <f>兵种!J7</f>
        <v>1.5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4</v>
      </c>
      <c r="E8">
        <f>兵种!E8</f>
        <v>3001</v>
      </c>
      <c r="F8">
        <f>兵种!F8</f>
        <v>3001</v>
      </c>
      <c r="G8">
        <f>兵种!G8</f>
        <v>4</v>
      </c>
      <c r="H8">
        <f>兵种!H8</f>
        <v>75</v>
      </c>
      <c r="I8">
        <f>兵种!I8</f>
        <v>569</v>
      </c>
      <c r="J8">
        <f>兵种!J8</f>
        <v>1</v>
      </c>
      <c r="K8">
        <f>兵种!K8</f>
        <v>0.5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2</v>
      </c>
      <c r="E9">
        <f>兵种!E9</f>
        <v>3002</v>
      </c>
      <c r="F9">
        <f>兵种!F9</f>
        <v>3002</v>
      </c>
      <c r="G9">
        <f>兵种!G9</f>
        <v>4</v>
      </c>
      <c r="H9">
        <f>兵种!H9</f>
        <v>18</v>
      </c>
      <c r="I9">
        <f>兵种!I9</f>
        <v>183</v>
      </c>
      <c r="J9">
        <f>兵种!J9</f>
        <v>2</v>
      </c>
      <c r="K9">
        <f>兵种!K9</f>
        <v>0.75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1</v>
      </c>
      <c r="E10">
        <f>兵种!E10</f>
        <v>3003</v>
      </c>
      <c r="F10">
        <f>兵种!F10</f>
        <v>3003</v>
      </c>
      <c r="G10">
        <f>兵种!G10</f>
        <v>3</v>
      </c>
      <c r="H10">
        <f>兵种!H10</f>
        <v>10</v>
      </c>
      <c r="I10">
        <f>兵种!I10</f>
        <v>80</v>
      </c>
      <c r="J10">
        <f>兵种!J10</f>
        <v>1.5</v>
      </c>
      <c r="K10">
        <f>兵种!K10</f>
        <v>1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>
      <selection activeCell="N14" sqref="N14"/>
    </sheetView>
  </sheetViews>
  <sheetFormatPr defaultRowHeight="13.5"/>
  <sheetData>
    <row r="1" spans="1:17" s="14" customFormat="1">
      <c r="A1" s="20" t="str">
        <f>攻击!A1</f>
        <v>攻击ID</v>
      </c>
      <c r="B1" s="21" t="str">
        <f>攻击!B1</f>
        <v>名称</v>
      </c>
      <c r="C1" s="21" t="str">
        <f>攻击!C1</f>
        <v>敌友</v>
      </c>
      <c r="D1" s="21" t="str">
        <f>攻击!D1</f>
        <v>目标</v>
      </c>
      <c r="E1" s="21" t="str">
        <f>攻击!E1</f>
        <v>命中部位</v>
      </c>
      <c r="F1" s="21" t="str">
        <f>攻击!F1</f>
        <v>弹道</v>
      </c>
      <c r="G1" s="21" t="str">
        <f>攻击!G1</f>
        <v>弹道参数</v>
      </c>
      <c r="H1" s="21" t="str">
        <f>攻击!H1</f>
        <v>附加特效</v>
      </c>
      <c r="I1" s="21" t="str">
        <f>攻击!I1</f>
        <v>特效参数</v>
      </c>
      <c r="J1" s="21" t="str">
        <f>攻击!J1</f>
        <v>资源本体</v>
      </c>
      <c r="K1" s="21" t="str">
        <f>攻击!K1</f>
        <v>帧数本体</v>
      </c>
      <c r="L1" s="21" t="str">
        <f>攻击!L1</f>
        <v>资源命中</v>
      </c>
      <c r="M1" s="21" t="str">
        <f>攻击!M1</f>
        <v>帧数命中</v>
      </c>
      <c r="N1" s="21" t="str">
        <f>攻击!N1</f>
        <v>资源附1</v>
      </c>
      <c r="O1" s="21" t="str">
        <f>攻击!O1</f>
        <v>帧数附1</v>
      </c>
      <c r="P1" s="21" t="str">
        <f>攻击!P1</f>
        <v>攻击音效</v>
      </c>
      <c r="Q1" s="21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2,0,0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Bullet_1001_3</v>
      </c>
      <c r="O2">
        <f>攻击!O2</f>
        <v>0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0</v>
      </c>
      <c r="L3" t="str">
        <f>攻击!L3</f>
        <v>Bullet_1002_2</v>
      </c>
      <c r="M3">
        <f>攻击!M3</f>
        <v>0</v>
      </c>
      <c r="N3" t="str">
        <f>攻击!N3</f>
        <v>Bullet_1002_3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Bullet_1003_3</v>
      </c>
      <c r="O4">
        <f>攻击!O4</f>
        <v>0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0,9,0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0</v>
      </c>
      <c r="N5" t="str">
        <f>攻击!N5</f>
        <v>Bullet_2001_3</v>
      </c>
      <c r="O5">
        <f>攻击!O5</f>
        <v>6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2</v>
      </c>
      <c r="G6" t="str">
        <f>攻击!G6</f>
        <v>0,6,0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Bullet_2002_3</v>
      </c>
      <c r="O6">
        <f>攻击!O6</f>
        <v>0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0,7,0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1</v>
      </c>
      <c r="L7" t="str">
        <f>攻击!L7</f>
        <v>Bullet_2003_2</v>
      </c>
      <c r="M7">
        <f>攻击!M7</f>
        <v>0</v>
      </c>
      <c r="N7" t="str">
        <f>攻击!N7</f>
        <v>Bullet_2003_3</v>
      </c>
      <c r="O7">
        <f>攻击!O7</f>
        <v>0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8</v>
      </c>
      <c r="G8" t="str">
        <f>攻击!G8</f>
        <v>0,1,0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10</v>
      </c>
      <c r="L8" t="str">
        <f>攻击!L8</f>
        <v>Bullet_3001_2</v>
      </c>
      <c r="M8">
        <f>攻击!M8</f>
        <v>0</v>
      </c>
      <c r="N8" t="str">
        <f>攻击!N8</f>
        <v>Bullet_3001_3</v>
      </c>
      <c r="O8">
        <f>攻击!O8</f>
        <v>0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0,7,0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Bullet_3002_3</v>
      </c>
      <c r="O9">
        <f>攻击!O9</f>
        <v>0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Bullet_3003_3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全局</vt:lpstr>
      <vt:lpstr>兵种</vt:lpstr>
      <vt:lpstr>攻击</vt:lpstr>
      <vt:lpstr>技能</vt:lpstr>
      <vt:lpstr>出怪</vt:lpstr>
      <vt:lpstr>弹道</vt:lpstr>
      <vt:lpstr>特效</vt:lpstr>
      <vt:lpstr>Soldiers_config</vt:lpstr>
      <vt:lpstr>Attack_config</vt:lpstr>
      <vt:lpstr>Ability_config</vt:lpstr>
      <vt:lpstr>Enemy_config</vt:lpstr>
      <vt:lpstr>Strengthen_config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2015-12-29T09:08:31Z</dcterms:modified>
</cp:coreProperties>
</file>