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ji/Desktop/"/>
    </mc:Choice>
  </mc:AlternateContent>
  <xr:revisionPtr revIDLastSave="0" documentId="13_ncr:1_{1BF90E50-B673-E546-9EF3-3E007E8F2EAD}" xr6:coauthVersionLast="47" xr6:coauthVersionMax="47" xr10:uidLastSave="{00000000-0000-0000-0000-000000000000}"/>
  <bookViews>
    <workbookView xWindow="0" yWindow="500" windowWidth="28800" windowHeight="16440" xr2:uid="{E6C10F45-B446-D346-AD47-2F6A1762E94A}"/>
  </bookViews>
  <sheets>
    <sheet name="Instructions" sheetId="2" r:id="rId1"/>
    <sheet name="Apatite_Kd_Calculator" sheetId="1" r:id="rId2"/>
    <sheet name="Multiple_Kd_Calculato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P8" i="1"/>
  <c r="Q8" i="1"/>
  <c r="B9" i="1"/>
  <c r="K10" i="1"/>
  <c r="B17" i="1"/>
  <c r="B10" i="1"/>
  <c r="B16" i="1"/>
  <c r="H10" i="1"/>
  <c r="B15" i="1"/>
  <c r="C28" i="3"/>
  <c r="C22" i="3"/>
  <c r="C31" i="3"/>
  <c r="C38" i="3"/>
  <c r="D28" i="3"/>
  <c r="D22" i="3"/>
  <c r="D31" i="3"/>
  <c r="D38" i="3"/>
  <c r="E28" i="3"/>
  <c r="E22" i="3"/>
  <c r="E31" i="3"/>
  <c r="E38" i="3"/>
  <c r="F28" i="3"/>
  <c r="F22" i="3"/>
  <c r="F31" i="3"/>
  <c r="F38" i="3"/>
  <c r="G28" i="3"/>
  <c r="G22" i="3"/>
  <c r="G31" i="3"/>
  <c r="G38" i="3"/>
  <c r="H28" i="3"/>
  <c r="H22" i="3"/>
  <c r="H31" i="3"/>
  <c r="H38" i="3"/>
  <c r="I28" i="3"/>
  <c r="I22" i="3"/>
  <c r="I31" i="3"/>
  <c r="I38" i="3"/>
  <c r="J28" i="3"/>
  <c r="J22" i="3"/>
  <c r="J31" i="3"/>
  <c r="J38" i="3"/>
  <c r="K28" i="3"/>
  <c r="K22" i="3"/>
  <c r="K31" i="3"/>
  <c r="K38" i="3"/>
  <c r="L28" i="3"/>
  <c r="L22" i="3"/>
  <c r="L31" i="3"/>
  <c r="L38" i="3"/>
  <c r="M28" i="3"/>
  <c r="M22" i="3"/>
  <c r="M31" i="3"/>
  <c r="M38" i="3"/>
  <c r="N28" i="3"/>
  <c r="N22" i="3"/>
  <c r="N31" i="3"/>
  <c r="N38" i="3"/>
  <c r="O28" i="3"/>
  <c r="O22" i="3"/>
  <c r="O31" i="3"/>
  <c r="O38" i="3"/>
  <c r="P28" i="3"/>
  <c r="P22" i="3"/>
  <c r="P31" i="3"/>
  <c r="P38" i="3"/>
  <c r="Q28" i="3"/>
  <c r="Q22" i="3"/>
  <c r="Q31" i="3"/>
  <c r="Q38" i="3"/>
  <c r="R28" i="3"/>
  <c r="R22" i="3"/>
  <c r="R31" i="3"/>
  <c r="R38" i="3"/>
  <c r="S28" i="3"/>
  <c r="S22" i="3"/>
  <c r="S31" i="3"/>
  <c r="S38" i="3"/>
  <c r="T28" i="3"/>
  <c r="T22" i="3"/>
  <c r="T31" i="3"/>
  <c r="T38" i="3"/>
  <c r="U28" i="3"/>
  <c r="U22" i="3"/>
  <c r="U31" i="3"/>
  <c r="U38" i="3"/>
  <c r="V28" i="3"/>
  <c r="V22" i="3"/>
  <c r="V31" i="3"/>
  <c r="V38" i="3"/>
  <c r="W28" i="3"/>
  <c r="W22" i="3"/>
  <c r="W31" i="3"/>
  <c r="W38" i="3"/>
  <c r="X28" i="3"/>
  <c r="X22" i="3"/>
  <c r="X31" i="3"/>
  <c r="X38" i="3"/>
  <c r="Y28" i="3"/>
  <c r="Y22" i="3"/>
  <c r="Y31" i="3"/>
  <c r="Y38" i="3"/>
  <c r="Z28" i="3"/>
  <c r="Z22" i="3"/>
  <c r="Z31" i="3"/>
  <c r="Z38" i="3"/>
  <c r="AA28" i="3"/>
  <c r="AA22" i="3"/>
  <c r="AA31" i="3"/>
  <c r="AA38" i="3"/>
  <c r="AB28" i="3"/>
  <c r="AB22" i="3"/>
  <c r="AB31" i="3"/>
  <c r="AB38" i="3"/>
  <c r="AC28" i="3"/>
  <c r="AC22" i="3"/>
  <c r="AC31" i="3"/>
  <c r="AC38" i="3"/>
  <c r="AD28" i="3"/>
  <c r="AD22" i="3"/>
  <c r="AD31" i="3"/>
  <c r="AD38" i="3"/>
  <c r="AE28" i="3"/>
  <c r="AE22" i="3"/>
  <c r="AE31" i="3"/>
  <c r="A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28" i="3"/>
  <c r="B22" i="3"/>
  <c r="B31" i="3"/>
  <c r="B42" i="3"/>
  <c r="B41" i="3"/>
  <c r="B40" i="3"/>
  <c r="B39" i="3"/>
  <c r="B38" i="3"/>
  <c r="B19" i="1"/>
  <c r="B20" i="1"/>
  <c r="B29" i="3"/>
  <c r="B44" i="3"/>
  <c r="I10" i="1"/>
  <c r="B21" i="1"/>
  <c r="AE29" i="3"/>
  <c r="AE58" i="3"/>
  <c r="AD29" i="3"/>
  <c r="AD58" i="3"/>
  <c r="AC29" i="3"/>
  <c r="AC58" i="3"/>
  <c r="AA29" i="3"/>
  <c r="AA58" i="3"/>
  <c r="Z29" i="3"/>
  <c r="Z58" i="3"/>
  <c r="Y29" i="3"/>
  <c r="Y58" i="3"/>
  <c r="X29" i="3"/>
  <c r="X58" i="3"/>
  <c r="W29" i="3"/>
  <c r="W58" i="3"/>
  <c r="V29" i="3"/>
  <c r="V58" i="3"/>
  <c r="U29" i="3"/>
  <c r="U58" i="3"/>
  <c r="T29" i="3"/>
  <c r="T58" i="3"/>
  <c r="S29" i="3"/>
  <c r="S58" i="3"/>
  <c r="R29" i="3"/>
  <c r="R58" i="3"/>
  <c r="Q29" i="3"/>
  <c r="Q58" i="3"/>
  <c r="P29" i="3"/>
  <c r="P58" i="3"/>
  <c r="O29" i="3"/>
  <c r="O58" i="3"/>
  <c r="N29" i="3"/>
  <c r="N58" i="3"/>
  <c r="M29" i="3"/>
  <c r="M58" i="3"/>
  <c r="L29" i="3"/>
  <c r="L58" i="3"/>
  <c r="K29" i="3"/>
  <c r="K58" i="3"/>
  <c r="J29" i="3"/>
  <c r="J58" i="3"/>
  <c r="I29" i="3"/>
  <c r="I58" i="3"/>
  <c r="H29" i="3"/>
  <c r="H58" i="3"/>
  <c r="G29" i="3"/>
  <c r="G58" i="3"/>
  <c r="F29" i="3"/>
  <c r="F58" i="3"/>
  <c r="E29" i="3"/>
  <c r="E58" i="3"/>
  <c r="D29" i="3"/>
  <c r="D58" i="3"/>
  <c r="AE57" i="3"/>
  <c r="AD57" i="3"/>
  <c r="AC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E56" i="3"/>
  <c r="AD56" i="3"/>
  <c r="AC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E55" i="3"/>
  <c r="AD55" i="3"/>
  <c r="AC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E54" i="3"/>
  <c r="AD54" i="3"/>
  <c r="AC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E53" i="3"/>
  <c r="AD53" i="3"/>
  <c r="AC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E52" i="3"/>
  <c r="AD52" i="3"/>
  <c r="AC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E51" i="3"/>
  <c r="AD51" i="3"/>
  <c r="AC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E50" i="3"/>
  <c r="AD50" i="3"/>
  <c r="AC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E49" i="3"/>
  <c r="AD49" i="3"/>
  <c r="AC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E48" i="3"/>
  <c r="AD48" i="3"/>
  <c r="AC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E47" i="3"/>
  <c r="AD47" i="3"/>
  <c r="AC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E46" i="3"/>
  <c r="AD46" i="3"/>
  <c r="AC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E45" i="3"/>
  <c r="AD45" i="3"/>
  <c r="AC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E44" i="3"/>
  <c r="AD44" i="3"/>
  <c r="AC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29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AC33" i="3"/>
  <c r="AC34" i="3"/>
  <c r="AC35" i="3"/>
  <c r="AD33" i="3"/>
  <c r="AD34" i="3"/>
  <c r="AD35" i="3"/>
  <c r="C33" i="3"/>
  <c r="C34" i="3"/>
  <c r="C35" i="3"/>
  <c r="D33" i="3"/>
  <c r="D34" i="3"/>
  <c r="D35" i="3"/>
  <c r="E33" i="3"/>
  <c r="E34" i="3"/>
  <c r="E35" i="3"/>
  <c r="F33" i="3"/>
  <c r="F34" i="3"/>
  <c r="F35" i="3"/>
  <c r="G33" i="3"/>
  <c r="G34" i="3"/>
  <c r="G35" i="3"/>
  <c r="H33" i="3"/>
  <c r="H34" i="3"/>
  <c r="H35" i="3"/>
  <c r="I33" i="3"/>
  <c r="I34" i="3"/>
  <c r="I35" i="3"/>
  <c r="J33" i="3"/>
  <c r="J34" i="3"/>
  <c r="J35" i="3"/>
  <c r="K33" i="3"/>
  <c r="K34" i="3"/>
  <c r="K35" i="3"/>
  <c r="L33" i="3"/>
  <c r="L34" i="3"/>
  <c r="L35" i="3"/>
  <c r="M33" i="3"/>
  <c r="M34" i="3"/>
  <c r="M35" i="3"/>
  <c r="N33" i="3"/>
  <c r="N34" i="3"/>
  <c r="N35" i="3"/>
  <c r="O33" i="3"/>
  <c r="O34" i="3"/>
  <c r="O35" i="3"/>
  <c r="P33" i="3"/>
  <c r="P34" i="3"/>
  <c r="P35" i="3"/>
  <c r="Q33" i="3"/>
  <c r="Q34" i="3"/>
  <c r="Q35" i="3"/>
  <c r="R33" i="3"/>
  <c r="R34" i="3"/>
  <c r="R35" i="3"/>
  <c r="S33" i="3"/>
  <c r="S34" i="3"/>
  <c r="S35" i="3"/>
  <c r="T33" i="3"/>
  <c r="T34" i="3"/>
  <c r="T35" i="3"/>
  <c r="U33" i="3"/>
  <c r="U34" i="3"/>
  <c r="U35" i="3"/>
  <c r="V33" i="3"/>
  <c r="V34" i="3"/>
  <c r="V35" i="3"/>
  <c r="W33" i="3"/>
  <c r="W34" i="3"/>
  <c r="W35" i="3"/>
  <c r="X33" i="3"/>
  <c r="X34" i="3"/>
  <c r="X35" i="3"/>
  <c r="Y33" i="3"/>
  <c r="Y34" i="3"/>
  <c r="Y35" i="3"/>
  <c r="Z33" i="3"/>
  <c r="Z34" i="3"/>
  <c r="Z35" i="3"/>
  <c r="AA33" i="3"/>
  <c r="AA34" i="3"/>
  <c r="AA35" i="3"/>
  <c r="AE33" i="3"/>
  <c r="AE34" i="3"/>
  <c r="AE35" i="3"/>
  <c r="AE17" i="3"/>
  <c r="AE23" i="3"/>
  <c r="AE24" i="3"/>
  <c r="AE25" i="3"/>
  <c r="AE26" i="3"/>
  <c r="AE27" i="3"/>
  <c r="AE30" i="3"/>
  <c r="AE32" i="3"/>
  <c r="Y23" i="3"/>
  <c r="Z23" i="3"/>
  <c r="AA23" i="3"/>
  <c r="AB23" i="3"/>
  <c r="AC23" i="3"/>
  <c r="AD23" i="3"/>
  <c r="Y24" i="3"/>
  <c r="Z24" i="3"/>
  <c r="AA24" i="3"/>
  <c r="AB24" i="3"/>
  <c r="AC24" i="3"/>
  <c r="AD24" i="3"/>
  <c r="Y25" i="3"/>
  <c r="Z25" i="3"/>
  <c r="AA25" i="3"/>
  <c r="AB25" i="3"/>
  <c r="AC25" i="3"/>
  <c r="AD25" i="3"/>
  <c r="Y26" i="3"/>
  <c r="Z26" i="3"/>
  <c r="AA26" i="3"/>
  <c r="AB26" i="3"/>
  <c r="AC26" i="3"/>
  <c r="AD26" i="3"/>
  <c r="Y27" i="3"/>
  <c r="Z27" i="3"/>
  <c r="AA27" i="3"/>
  <c r="AB27" i="3"/>
  <c r="AC27" i="3"/>
  <c r="AD27" i="3"/>
  <c r="AB29" i="3"/>
  <c r="Y30" i="3"/>
  <c r="Z30" i="3"/>
  <c r="AA30" i="3"/>
  <c r="AB30" i="3"/>
  <c r="AC30" i="3"/>
  <c r="AD30" i="3"/>
  <c r="Y32" i="3"/>
  <c r="Z32" i="3"/>
  <c r="AA32" i="3"/>
  <c r="AB32" i="3"/>
  <c r="AC32" i="3"/>
  <c r="AD32" i="3"/>
  <c r="AB33" i="3"/>
  <c r="AB3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7" i="3"/>
  <c r="P7" i="1"/>
  <c r="AB35" i="3"/>
  <c r="AB56" i="3"/>
  <c r="AB54" i="3"/>
  <c r="AB50" i="3"/>
  <c r="AB46" i="3"/>
  <c r="AB44" i="3"/>
  <c r="AB49" i="3"/>
  <c r="AB47" i="3"/>
  <c r="AB53" i="3"/>
  <c r="AB58" i="3"/>
  <c r="AB52" i="3"/>
  <c r="AB48" i="3"/>
  <c r="AB51" i="3"/>
  <c r="AB45" i="3"/>
  <c r="AB55" i="3"/>
  <c r="AB57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B34" i="3"/>
  <c r="B33" i="3"/>
  <c r="B32" i="3"/>
  <c r="B30" i="3"/>
  <c r="B27" i="3"/>
  <c r="B26" i="3"/>
  <c r="B25" i="3"/>
  <c r="B24" i="3"/>
  <c r="B23" i="3"/>
  <c r="B35" i="3"/>
  <c r="C10" i="1"/>
  <c r="D10" i="1"/>
  <c r="F10" i="1"/>
  <c r="E10" i="1"/>
  <c r="G10" i="1"/>
  <c r="L10" i="1"/>
  <c r="J10" i="1"/>
  <c r="M10" i="1"/>
  <c r="N10" i="1"/>
  <c r="B30" i="1"/>
  <c r="O10" i="1"/>
  <c r="B34" i="1"/>
  <c r="B25" i="1"/>
  <c r="B24" i="1"/>
  <c r="B38" i="1"/>
  <c r="B31" i="1"/>
  <c r="B41" i="1"/>
  <c r="B36" i="1"/>
  <c r="B35" i="1"/>
  <c r="B43" i="1"/>
  <c r="B32" i="1"/>
  <c r="B42" i="1"/>
  <c r="B44" i="1"/>
  <c r="B40" i="1"/>
  <c r="B39" i="1"/>
  <c r="B33" i="1"/>
  <c r="B37" i="1"/>
  <c r="B27" i="1"/>
  <c r="B28" i="1"/>
  <c r="B26" i="1"/>
</calcChain>
</file>

<file path=xl/sharedStrings.xml><?xml version="1.0" encoding="utf-8"?>
<sst xmlns="http://schemas.openxmlformats.org/spreadsheetml/2006/main" count="181" uniqueCount="129">
  <si>
    <t>FeO</t>
  </si>
  <si>
    <t>MnO</t>
  </si>
  <si>
    <t>MgO</t>
  </si>
  <si>
    <t>CaO</t>
  </si>
  <si>
    <t>F</t>
    <phoneticPr fontId="0" type="noConversion"/>
  </si>
  <si>
    <t>Cl</t>
    <phoneticPr fontId="0" type="noConversion"/>
  </si>
  <si>
    <t>OH</t>
    <phoneticPr fontId="0" type="noConversion"/>
  </si>
  <si>
    <t>Number of ions in formula</t>
  </si>
  <si>
    <t>Sum</t>
  </si>
  <si>
    <t>INPUT APATITE COMPOSITION (wt.%)</t>
  </si>
  <si>
    <t>2. Lattice strain parameters calculation</t>
  </si>
  <si>
    <t>INPUT TEMPERATURE (ºC)</t>
  </si>
  <si>
    <t>3. Trace element partition coefficients calculation</t>
  </si>
  <si>
    <t>Mg</t>
  </si>
  <si>
    <t>Zn</t>
  </si>
  <si>
    <t>Ca</t>
  </si>
  <si>
    <t>Sr</t>
  </si>
  <si>
    <t>La</t>
  </si>
  <si>
    <t>Ce</t>
  </si>
  <si>
    <t>Pr</t>
  </si>
  <si>
    <t>Nd</t>
    <phoneticPr fontId="0" type="noConversion"/>
  </si>
  <si>
    <t>Sm</t>
  </si>
  <si>
    <t>Gd</t>
  </si>
  <si>
    <t>Tb</t>
    <phoneticPr fontId="0" type="noConversion"/>
  </si>
  <si>
    <t>Dy</t>
    <phoneticPr fontId="0" type="noConversion"/>
  </si>
  <si>
    <t>Y</t>
    <phoneticPr fontId="0" type="noConversion"/>
  </si>
  <si>
    <t>Ho</t>
    <phoneticPr fontId="0" type="noConversion"/>
  </si>
  <si>
    <t>Er</t>
    <phoneticPr fontId="0" type="noConversion"/>
  </si>
  <si>
    <t>Tm</t>
    <phoneticPr fontId="0" type="noConversion"/>
  </si>
  <si>
    <t>Yb</t>
    <phoneticPr fontId="0" type="noConversion"/>
  </si>
  <si>
    <t>Lu</t>
  </si>
  <si>
    <r>
      <t>Eu</t>
    </r>
    <r>
      <rPr>
        <vertAlign val="superscript"/>
        <sz val="11"/>
        <color rgb="FF000000"/>
        <rFont val="Times New Roman"/>
        <family val="1"/>
      </rPr>
      <t>2+</t>
    </r>
  </si>
  <si>
    <t>Divalent elements</t>
  </si>
  <si>
    <t>Trivalent elements</t>
  </si>
  <si>
    <r>
      <t>Eu</t>
    </r>
    <r>
      <rPr>
        <vertAlign val="superscript"/>
        <sz val="11"/>
        <color theme="1"/>
        <rFont val="Times New Roman"/>
        <family val="1"/>
      </rPr>
      <t>3+</t>
    </r>
  </si>
  <si>
    <t>Molecular weight</t>
  </si>
  <si>
    <t>Mole fraction of anions</t>
  </si>
  <si>
    <t>Corrected sum</t>
  </si>
  <si>
    <r>
      <t>lnDo</t>
    </r>
    <r>
      <rPr>
        <vertAlign val="superscript"/>
        <sz val="11"/>
        <color rgb="FF000000"/>
        <rFont val="Times New Roman"/>
        <family val="1"/>
      </rPr>
      <t>3+</t>
    </r>
  </si>
  <si>
    <r>
      <t>ro</t>
    </r>
    <r>
      <rPr>
        <vertAlign val="superscript"/>
        <sz val="11"/>
        <color rgb="FF000000"/>
        <rFont val="Times New Roman"/>
        <family val="1"/>
      </rPr>
      <t>3+</t>
    </r>
    <r>
      <rPr>
        <sz val="11"/>
        <color indexed="8"/>
        <rFont val="Times New Roman"/>
        <family val="1"/>
      </rPr>
      <t xml:space="preserve"> (Å)</t>
    </r>
  </si>
  <si>
    <r>
      <t>E</t>
    </r>
    <r>
      <rPr>
        <vertAlign val="superscript"/>
        <sz val="11"/>
        <color rgb="FF000000"/>
        <rFont val="Times New Roman"/>
        <family val="1"/>
      </rPr>
      <t>3+</t>
    </r>
    <r>
      <rPr>
        <sz val="11"/>
        <color indexed="8"/>
        <rFont val="Times New Roman"/>
        <family val="1"/>
      </rPr>
      <t xml:space="preserve"> (Gpa)</t>
    </r>
  </si>
  <si>
    <r>
      <t>E</t>
    </r>
    <r>
      <rPr>
        <vertAlign val="superscript"/>
        <sz val="11"/>
        <color rgb="FF000000"/>
        <rFont val="Times New Roman"/>
        <family val="1"/>
      </rPr>
      <t>2+</t>
    </r>
    <r>
      <rPr>
        <sz val="11"/>
        <color indexed="8"/>
        <rFont val="Times New Roman"/>
        <family val="1"/>
      </rPr>
      <t xml:space="preserve"> (Gpa)</t>
    </r>
  </si>
  <si>
    <r>
      <t>ro</t>
    </r>
    <r>
      <rPr>
        <vertAlign val="superscript"/>
        <sz val="11"/>
        <color rgb="FF000000"/>
        <rFont val="Times New Roman"/>
        <family val="1"/>
      </rPr>
      <t>2+</t>
    </r>
    <r>
      <rPr>
        <sz val="11"/>
        <color indexed="8"/>
        <rFont val="Times New Roman"/>
        <family val="1"/>
      </rPr>
      <t xml:space="preserve"> (Å)</t>
    </r>
  </si>
  <si>
    <r>
      <t>lnDo</t>
    </r>
    <r>
      <rPr>
        <vertAlign val="superscript"/>
        <sz val="11"/>
        <color rgb="FF000000"/>
        <rFont val="Times New Roman"/>
        <family val="1"/>
      </rPr>
      <t>2+</t>
    </r>
  </si>
  <si>
    <r>
      <t>1. Apatite formula calculation (Ca</t>
    </r>
    <r>
      <rPr>
        <b/>
        <vertAlign val="subscript"/>
        <sz val="14"/>
        <color rgb="FF000000"/>
        <rFont val="Times New Roman"/>
        <family val="1"/>
      </rPr>
      <t>10</t>
    </r>
    <r>
      <rPr>
        <b/>
        <sz val="14"/>
        <color indexed="8"/>
        <rFont val="Times New Roman"/>
        <family val="1"/>
      </rPr>
      <t>(PO</t>
    </r>
    <r>
      <rPr>
        <b/>
        <vertAlign val="subscript"/>
        <sz val="14"/>
        <color rgb="FF000000"/>
        <rFont val="Times New Roman"/>
        <family val="1"/>
      </rPr>
      <t>4</t>
    </r>
    <r>
      <rPr>
        <b/>
        <sz val="14"/>
        <color indexed="8"/>
        <rFont val="Times New Roman"/>
        <family val="1"/>
      </rPr>
      <t>)</t>
    </r>
    <r>
      <rPr>
        <b/>
        <vertAlign val="subscript"/>
        <sz val="14"/>
        <color rgb="FF000000"/>
        <rFont val="Times New Roman"/>
        <family val="1"/>
      </rPr>
      <t>6</t>
    </r>
    <r>
      <rPr>
        <b/>
        <sz val="14"/>
        <color indexed="8"/>
        <rFont val="Times New Roman"/>
        <family val="1"/>
      </rPr>
      <t>(F,Cl,OH)</t>
    </r>
    <r>
      <rPr>
        <b/>
        <vertAlign val="subscript"/>
        <sz val="14"/>
        <color rgb="FF000000"/>
        <rFont val="Times New Roman"/>
        <family val="1"/>
      </rPr>
      <t>2</t>
    </r>
    <r>
      <rPr>
        <b/>
        <sz val="14"/>
        <color indexed="8"/>
        <rFont val="Times New Roman"/>
        <family val="1"/>
      </rPr>
      <t>)</t>
    </r>
  </si>
  <si>
    <t>Anion normalization factor (see Ketchem, 2015)</t>
  </si>
  <si>
    <t>Number of anions</t>
  </si>
  <si>
    <t>Number of cations</t>
  </si>
  <si>
    <t>IX-fold coordinated ionic radius (Å)</t>
  </si>
  <si>
    <t>Authors: Dian Ji and Nicholas Dygert</t>
  </si>
  <si>
    <t>Instructions</t>
  </si>
  <si>
    <r>
      <t>SiO</t>
    </r>
    <r>
      <rPr>
        <vertAlign val="subscript"/>
        <sz val="11"/>
        <rFont val="Times New Roman"/>
        <family val="1"/>
      </rPr>
      <t>2</t>
    </r>
  </si>
  <si>
    <r>
      <t>TiO</t>
    </r>
    <r>
      <rPr>
        <vertAlign val="subscript"/>
        <sz val="11"/>
        <rFont val="Times New Roman"/>
        <family val="1"/>
      </rPr>
      <t>2</t>
    </r>
  </si>
  <si>
    <r>
      <t>Al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3</t>
    </r>
  </si>
  <si>
    <r>
      <t>Na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</si>
  <si>
    <r>
      <t>K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</si>
  <si>
    <r>
      <t>P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5</t>
    </r>
  </si>
  <si>
    <r>
      <t>Cr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3</t>
    </r>
  </si>
  <si>
    <t>Si</t>
  </si>
  <si>
    <t>Ti</t>
  </si>
  <si>
    <t>Al</t>
  </si>
  <si>
    <t>Fe</t>
  </si>
  <si>
    <t>Mn</t>
  </si>
  <si>
    <t>Na</t>
  </si>
  <si>
    <t>K</t>
  </si>
  <si>
    <t>P</t>
  </si>
  <si>
    <t>Cr</t>
  </si>
  <si>
    <r>
      <t>SiO</t>
    </r>
    <r>
      <rPr>
        <vertAlign val="subscript"/>
        <sz val="12"/>
        <rFont val="Times New Roman"/>
        <family val="1"/>
      </rPr>
      <t>2</t>
    </r>
  </si>
  <si>
    <r>
      <t>TiO</t>
    </r>
    <r>
      <rPr>
        <vertAlign val="subscript"/>
        <sz val="12"/>
        <rFont val="Times New Roman"/>
        <family val="1"/>
      </rPr>
      <t>2</t>
    </r>
  </si>
  <si>
    <r>
      <t>Al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</si>
  <si>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r>
      <t>Na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</si>
  <si>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K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</si>
  <si>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P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5</t>
    </r>
  </si>
  <si>
    <r>
      <t>Cr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</si>
  <si>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t>2. OUTPUT APATITE FORMULAS</t>
  </si>
  <si>
    <t>3. OUTPUT PARTITION COEFFICIENTS</t>
  </si>
  <si>
    <t>Temperature  (ºC)</t>
  </si>
  <si>
    <t>2. Go to the sheet "Multiple_Kd_Calculator" if you have several apatites to calculate.</t>
  </si>
  <si>
    <r>
      <t>Eu</t>
    </r>
    <r>
      <rPr>
        <vertAlign val="superscript"/>
        <sz val="12"/>
        <color rgb="FF000000"/>
        <rFont val="Times New Roman"/>
        <family val="1"/>
      </rPr>
      <t>2+</t>
    </r>
  </si>
  <si>
    <r>
      <t>Eu</t>
    </r>
    <r>
      <rPr>
        <vertAlign val="superscript"/>
        <sz val="12"/>
        <color theme="1"/>
        <rFont val="Times New Roman"/>
        <family val="1"/>
      </rPr>
      <t>3+</t>
    </r>
  </si>
  <si>
    <t>Sample name</t>
  </si>
  <si>
    <t>Ketcham, R.A., 2015. Calculation of stoichiometry from EMP data for apatite and other phases with mixing on monovalent anion sites. American Mineralogist 100, 1620-1623.</t>
  </si>
  <si>
    <t>Reference</t>
  </si>
  <si>
    <t>61B</t>
  </si>
  <si>
    <t>71A</t>
  </si>
  <si>
    <t>61A</t>
  </si>
  <si>
    <t>48B</t>
  </si>
  <si>
    <t>59B</t>
  </si>
  <si>
    <t>54A</t>
  </si>
  <si>
    <t>811-b</t>
  </si>
  <si>
    <t>818-b</t>
  </si>
  <si>
    <t xml:space="preserve">OHAp-1 </t>
  </si>
  <si>
    <t>ClAp-1</t>
  </si>
  <si>
    <t xml:space="preserve">FlAp-1 </t>
  </si>
  <si>
    <t>OHAp-6</t>
  </si>
  <si>
    <t>ClAp-2</t>
  </si>
  <si>
    <t>OHAp-5</t>
  </si>
  <si>
    <t xml:space="preserve">ClAp-3 </t>
  </si>
  <si>
    <t>Erebus apatitie</t>
  </si>
  <si>
    <t>Ref.</t>
  </si>
  <si>
    <t>This Study</t>
  </si>
  <si>
    <t>Li, W., Costa, F., Oppenheimer, C., Nagashima, K., 2023. Volatile and trace element partitioning between apatite and alkaline melts. Contributions to Mineralogy and Petrology 178, 9.</t>
  </si>
  <si>
    <t>Prowatke, S., Klemme, S., 2006. Trace element partitioning between apatite and silicate melts. Geochim. Cosmochim. Acta 70, 4513-4527.</t>
  </si>
  <si>
    <t>Watson, E.B., Green, T.H., 1981. Apatite/liquid partition coefficients for the rare earth elements and strontium. Earth and Planetary Science Letters 56, 405-421.</t>
  </si>
  <si>
    <t>References:</t>
  </si>
  <si>
    <t>Prowatke et al. (2006)</t>
  </si>
  <si>
    <t>Watson and Green (1981)</t>
  </si>
  <si>
    <t>Li et al. (2023)</t>
  </si>
  <si>
    <t>Tailby et al. (2023)</t>
  </si>
  <si>
    <t>ApREE-09</t>
  </si>
  <si>
    <t>ApREE-12 (CCOCO2)</t>
  </si>
  <si>
    <t>FlAp-9</t>
  </si>
  <si>
    <t>FlAp-8</t>
  </si>
  <si>
    <t>FlAp-7</t>
  </si>
  <si>
    <t>OHAp-7</t>
  </si>
  <si>
    <t>ClAp-5</t>
  </si>
  <si>
    <t>Tailby, N.D., Trail, D., Watson, B., Lanzirotti, A., Newville, M., Wang, Y., 2023. Eu speciation in apatite at 1 bar: An experimental study of valence-state partitioning by XANES, lattice strain, and Eu/Eu* in basaltic systems. American Mineralogist 108, 789-813.</t>
  </si>
  <si>
    <t>1. Go to the sheet "Apatite_Kd_Calculator" for details about partition coefficient calculation.</t>
  </si>
  <si>
    <t>Sun, C.G., Graff, M., Liang, Y., 2017. Trace element partitioning between plagioclase and silicate melt: The importance of temperature and plagioclase composition, with implications for terrestrial and lunar magmatism. Geochimica et Cosmochimica Acta 206, 273-295.</t>
  </si>
  <si>
    <t>Stepanov, A.S., Zhukova, I.A., Jiang, S.-Y., 2023. Experimental constraints on miscibility gap between apatite and britholite and REE partitioning in an alkaline melt. American Mineralogist 108, 1043-1052.</t>
  </si>
  <si>
    <t>Stepanov et al. (2023)</t>
  </si>
  <si>
    <t>Apatite</t>
  </si>
  <si>
    <t>E-mail: dj56@rice.edu</t>
  </si>
  <si>
    <t>Supplement to: Trace element partitioning between apatite and silicate melts: Effects of major element composition, temperature, and oxygen fugacity, and implications for the volatile element budget of the lunar magma ocean</t>
  </si>
  <si>
    <t>1. INPUT APATITE CONCENTRATIONS AND TEMPERATURES</t>
  </si>
  <si>
    <r>
      <t xml:space="preserve">3. Input the required data for the part </t>
    </r>
    <r>
      <rPr>
        <b/>
        <sz val="16"/>
        <rFont val="Times New Roman"/>
        <family val="1"/>
      </rPr>
      <t>filled with green</t>
    </r>
    <r>
      <rPr>
        <sz val="16"/>
        <color theme="1"/>
        <rFont val="Times New Roman"/>
        <family val="1"/>
      </rPr>
      <t>.</t>
    </r>
  </si>
  <si>
    <t>5. The plagioclase trace element predictive models are from Sun et al. (2017).</t>
  </si>
  <si>
    <t>6. Details about apatite formula calculation can be found in Ketcham (2015).</t>
  </si>
  <si>
    <t>4. The formula of mineral, trace element partition coefficients will be updated automatically.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</si>
</sst>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&quot; &quot;;\(0.000\)"/>
    <numFmt numFmtId="165" formatCode="0.000"/>
    <numFmt numFmtId="166" formatCode="0.00&quot; &quot;;\(0.00\)"/>
    <numFmt numFmtId="167" formatCode="0.00_);\(0.00\)"/>
    <numFmt numFmtId="168" formatCode="0.00000000000000_);\(0.00000000000000\)"/>
  </numFmts>
  <fonts count="23" x14ac:knownFonts="1">
    <font>
      <sz val="12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vertAlign val="superscript"/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</font>
    <font>
      <b/>
      <vertAlign val="subscript"/>
      <sz val="14"/>
      <color rgb="FF000000"/>
      <name val="Times New Roman"/>
      <family val="1"/>
    </font>
    <font>
      <vertAlign val="subscript"/>
      <sz val="1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vertAlign val="subscript"/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4" borderId="0" xfId="0" applyFont="1" applyFill="1" applyAlignment="1">
      <alignment horizontal="center" vertical="center"/>
    </xf>
    <xf numFmtId="167" fontId="11" fillId="4" borderId="0" xfId="0" applyNumberFormat="1" applyFont="1" applyFill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0" fontId="15" fillId="4" borderId="0" xfId="0" applyFont="1" applyFill="1" applyAlignment="1">
      <alignment horizontal="center"/>
    </xf>
    <xf numFmtId="49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0" fontId="21" fillId="0" borderId="0" xfId="0" applyFont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2" fontId="5" fillId="4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CCC2"/>
      <color rgb="FF00FFF2"/>
      <color rgb="FFDC55FF"/>
      <color rgb="FFD454FD"/>
      <color rgb="FFBF4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Onuma diagram showing apatite-melt partition coefficients as a function of ionic radius for divalent and trivalent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Divalent element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Apatite_Kd_Calculator!$V$24:$V$28</c:f>
              <c:numCache>
                <c:formatCode>0.000</c:formatCode>
                <c:ptCount val="5"/>
                <c:pt idx="0">
                  <c:v>0.9556</c:v>
                </c:pt>
                <c:pt idx="1">
                  <c:v>0.95840000000000003</c:v>
                </c:pt>
                <c:pt idx="2">
                  <c:v>1.18</c:v>
                </c:pt>
                <c:pt idx="3">
                  <c:v>1.3</c:v>
                </c:pt>
                <c:pt idx="4">
                  <c:v>1.31</c:v>
                </c:pt>
              </c:numCache>
            </c:numRef>
          </c:xVal>
          <c:yVal>
            <c:numRef>
              <c:f>Apatite_Kd_Calculator!$B$24:$B$28</c:f>
              <c:numCache>
                <c:formatCode>0.000</c:formatCode>
                <c:ptCount val="5"/>
                <c:pt idx="0">
                  <c:v>0.14268104932204545</c:v>
                </c:pt>
                <c:pt idx="1">
                  <c:v>0.15497141334363743</c:v>
                </c:pt>
                <c:pt idx="2" formatCode="0.00">
                  <c:v>6.7538952861878254</c:v>
                </c:pt>
                <c:pt idx="3" formatCode="0.00">
                  <c:v>2.916627279043273</c:v>
                </c:pt>
                <c:pt idx="4" formatCode="0.00">
                  <c:v>2.4337375051338621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5-4046-B929-99876E7A430A}"/>
            </c:ext>
          </c:extLst>
        </c:ser>
        <c:ser>
          <c:idx val="1"/>
          <c:order val="1"/>
          <c:tx>
            <c:v>Trivalent element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Apatite_Kd_Calculator!$V$30:$V$44</c:f>
              <c:numCache>
                <c:formatCode>General</c:formatCode>
                <c:ptCount val="15"/>
                <c:pt idx="0">
                  <c:v>1.216</c:v>
                </c:pt>
                <c:pt idx="1">
                  <c:v>1.196</c:v>
                </c:pt>
                <c:pt idx="2">
                  <c:v>1.179</c:v>
                </c:pt>
                <c:pt idx="3">
                  <c:v>1.163</c:v>
                </c:pt>
                <c:pt idx="4">
                  <c:v>1.1319999999999999</c:v>
                </c:pt>
                <c:pt idx="5">
                  <c:v>1.1200000000000001</c:v>
                </c:pt>
                <c:pt idx="6">
                  <c:v>1.107</c:v>
                </c:pt>
                <c:pt idx="7">
                  <c:v>1.095</c:v>
                </c:pt>
                <c:pt idx="8">
                  <c:v>1.083</c:v>
                </c:pt>
                <c:pt idx="9">
                  <c:v>1.075</c:v>
                </c:pt>
                <c:pt idx="10">
                  <c:v>1.0720000000000001</c:v>
                </c:pt>
                <c:pt idx="11">
                  <c:v>1.0620000000000001</c:v>
                </c:pt>
                <c:pt idx="12">
                  <c:v>1.052</c:v>
                </c:pt>
                <c:pt idx="13">
                  <c:v>1.042</c:v>
                </c:pt>
                <c:pt idx="14">
                  <c:v>1.032</c:v>
                </c:pt>
              </c:numCache>
            </c:numRef>
          </c:xVal>
          <c:yVal>
            <c:numRef>
              <c:f>Apatite_Kd_Calculator!$B$30:$B$44</c:f>
              <c:numCache>
                <c:formatCode>0.00</c:formatCode>
                <c:ptCount val="15"/>
                <c:pt idx="0">
                  <c:v>2.0884402647897358</c:v>
                </c:pt>
                <c:pt idx="1">
                  <c:v>2.9046271699044635</c:v>
                </c:pt>
                <c:pt idx="2">
                  <c:v>3.5622341515437768</c:v>
                </c:pt>
                <c:pt idx="3">
                  <c:v>4.0560014504004611</c:v>
                </c:pt>
                <c:pt idx="4">
                  <c:v>4.4187996289640692</c:v>
                </c:pt>
                <c:pt idx="5">
                  <c:v>4.3156841188052146</c:v>
                </c:pt>
                <c:pt idx="6">
                  <c:v>4.0636677208393905</c:v>
                </c:pt>
                <c:pt idx="7">
                  <c:v>3.725974718447949</c:v>
                </c:pt>
                <c:pt idx="8">
                  <c:v>3.3177550551422206</c:v>
                </c:pt>
                <c:pt idx="9">
                  <c:v>3.0222123339347156</c:v>
                </c:pt>
                <c:pt idx="10">
                  <c:v>2.9088657419139659</c:v>
                </c:pt>
                <c:pt idx="11">
                  <c:v>2.5288395807784876</c:v>
                </c:pt>
                <c:pt idx="12">
                  <c:v>2.156949391774222</c:v>
                </c:pt>
                <c:pt idx="13">
                  <c:v>1.805706391282776</c:v>
                </c:pt>
                <c:pt idx="14">
                  <c:v>1.4842609201356696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5-4046-B929-99876E7A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71072"/>
        <c:axId val="674781248"/>
      </c:scatterChart>
      <c:valAx>
        <c:axId val="674771072"/>
        <c:scaling>
          <c:orientation val="minMax"/>
          <c:max val="1.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Ionic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radius,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Å</a:t>
                </a:r>
                <a:r>
                  <a:rPr lang="zh-CN" altLang="en-US" sz="1400"/>
                  <a:t> 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1248"/>
        <c:crosses val="autoZero"/>
        <c:crossBetween val="midCat"/>
      </c:valAx>
      <c:valAx>
        <c:axId val="674781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Apatite-melt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partition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coefficient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7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Apatite-silicate melt partition coefficient</a:t>
            </a:r>
            <a:r>
              <a:rPr lang="en-US" altLang="zh-CN" sz="1600"/>
              <a:t>s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Apatite-silicate melt partition coefficient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31750">
                <a:solidFill>
                  <a:srgbClr val="C00000"/>
                </a:solidFill>
              </a:ln>
              <a:effectLst/>
            </c:spPr>
          </c:marker>
          <c:cat>
            <c:strRef>
              <c:f>(Apatite_Kd_Calculator!$A$24:$A$28,Apatite_Kd_Calculator!$A$30:$A$44)</c:f>
              <c:strCache>
                <c:ptCount val="20"/>
                <c:pt idx="0">
                  <c:v>Mg</c:v>
                </c:pt>
                <c:pt idx="1">
                  <c:v>Zn</c:v>
                </c:pt>
                <c:pt idx="2">
                  <c:v>Ca</c:v>
                </c:pt>
                <c:pt idx="3">
                  <c:v>Eu2+</c:v>
                </c:pt>
                <c:pt idx="4">
                  <c:v>Sr</c:v>
                </c:pt>
                <c:pt idx="5">
                  <c:v>La</c:v>
                </c:pt>
                <c:pt idx="6">
                  <c:v>Ce</c:v>
                </c:pt>
                <c:pt idx="7">
                  <c:v>Pr</c:v>
                </c:pt>
                <c:pt idx="8">
                  <c:v>Nd</c:v>
                </c:pt>
                <c:pt idx="9">
                  <c:v>Sm</c:v>
                </c:pt>
                <c:pt idx="10">
                  <c:v>Eu3+</c:v>
                </c:pt>
                <c:pt idx="11">
                  <c:v>Gd</c:v>
                </c:pt>
                <c:pt idx="12">
                  <c:v>Tb</c:v>
                </c:pt>
                <c:pt idx="13">
                  <c:v>Dy</c:v>
                </c:pt>
                <c:pt idx="14">
                  <c:v>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</c:strCache>
            </c:strRef>
          </c:cat>
          <c:val>
            <c:numRef>
              <c:f>(Apatite_Kd_Calculator!$B$24:$B$28,Apatite_Kd_Calculator!$B$30:$B$44)</c:f>
              <c:numCache>
                <c:formatCode>0.000</c:formatCode>
                <c:ptCount val="20"/>
                <c:pt idx="0">
                  <c:v>0.14268104932204545</c:v>
                </c:pt>
                <c:pt idx="1">
                  <c:v>0.15497141334363743</c:v>
                </c:pt>
                <c:pt idx="2" formatCode="0.00">
                  <c:v>6.7538952861878254</c:v>
                </c:pt>
                <c:pt idx="3" formatCode="0.00">
                  <c:v>2.916627279043273</c:v>
                </c:pt>
                <c:pt idx="4" formatCode="0.00">
                  <c:v>2.4337375051338621</c:v>
                </c:pt>
                <c:pt idx="5" formatCode="0.00">
                  <c:v>2.0884402647897358</c:v>
                </c:pt>
                <c:pt idx="6" formatCode="0.00">
                  <c:v>2.9046271699044635</c:v>
                </c:pt>
                <c:pt idx="7" formatCode="0.00">
                  <c:v>3.5622341515437768</c:v>
                </c:pt>
                <c:pt idx="8" formatCode="0.00">
                  <c:v>4.0560014504004611</c:v>
                </c:pt>
                <c:pt idx="9" formatCode="0.00">
                  <c:v>4.4187996289640692</c:v>
                </c:pt>
                <c:pt idx="10" formatCode="0.00">
                  <c:v>4.3156841188052146</c:v>
                </c:pt>
                <c:pt idx="11" formatCode="0.00">
                  <c:v>4.0636677208393905</c:v>
                </c:pt>
                <c:pt idx="12" formatCode="0.00">
                  <c:v>3.725974718447949</c:v>
                </c:pt>
                <c:pt idx="13" formatCode="0.00">
                  <c:v>3.3177550551422206</c:v>
                </c:pt>
                <c:pt idx="14" formatCode="0.00">
                  <c:v>3.0222123339347156</c:v>
                </c:pt>
                <c:pt idx="15" formatCode="0.00">
                  <c:v>2.9088657419139659</c:v>
                </c:pt>
                <c:pt idx="16" formatCode="0.00">
                  <c:v>2.5288395807784876</c:v>
                </c:pt>
                <c:pt idx="17" formatCode="0.00">
                  <c:v>2.156949391774222</c:v>
                </c:pt>
                <c:pt idx="18" formatCode="0.00">
                  <c:v>1.805706391282776</c:v>
                </c:pt>
                <c:pt idx="19" formatCode="0.00">
                  <c:v>1.4842609201356696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B-0A4E-91E7-713EBD57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07584"/>
        <c:axId val="301908336"/>
      </c:lineChart>
      <c:catAx>
        <c:axId val="301207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08336"/>
        <c:crosses val="autoZero"/>
        <c:auto val="1"/>
        <c:lblAlgn val="ctr"/>
        <c:lblOffset val="100"/>
        <c:noMultiLvlLbl val="0"/>
      </c:catAx>
      <c:valAx>
        <c:axId val="3019083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Partition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coefficient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332316</xdr:colOff>
      <xdr:row>12</xdr:row>
      <xdr:rowOff>156634</xdr:rowOff>
    </xdr:from>
    <xdr:to>
      <xdr:col>9</xdr:col>
      <xdr:colOff>266699</xdr:colOff>
      <xdr:row>37</xdr:row>
      <xdr:rowOff>59268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A8012-8655-C535-DBBE-391EBBD3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568302</xdr:colOff>
      <xdr:row>12</xdr:row>
      <xdr:rowOff>142552</xdr:rowOff>
    </xdr:from>
    <xdr:to>
      <xdr:col>16</xdr:col>
      <xdr:colOff>273698</xdr:colOff>
      <xdr:row>37</xdr:row>
      <xdr:rowOff>98665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C9FFE4-0C46-4315-9114-795BC13A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0894-18D5-E44C-91F5-A235CAFDF8AE}">
  <dimension ref="A1:A17"/>
  <sheetViews>
    <sheetView tabSelected="1" workbookViewId="0"/>
  </sheetViews>
  <sheetFormatPr baseColWidth="10" defaultColWidth="10.83203125" defaultRowHeight="16" x14ac:dyDescent="0.2"/>
  <cols>
    <col min="1" max="16384" width="10.83203125" style="13"/>
  </cols>
  <sheetData>
    <row r="1" spans="1:1" ht="20" x14ac:dyDescent="0.2">
      <c r="A1" s="15" t="s">
        <v>123</v>
      </c>
    </row>
    <row r="2" spans="1:1" ht="20" x14ac:dyDescent="0.2">
      <c r="A2" s="14" t="s">
        <v>49</v>
      </c>
    </row>
    <row r="3" spans="1:1" ht="20" x14ac:dyDescent="0.2">
      <c r="A3" s="14" t="s">
        <v>122</v>
      </c>
    </row>
    <row r="4" spans="1:1" ht="20" x14ac:dyDescent="0.2">
      <c r="A4" s="14"/>
    </row>
    <row r="5" spans="1:1" ht="20" x14ac:dyDescent="0.2">
      <c r="A5" s="15" t="s">
        <v>50</v>
      </c>
    </row>
    <row r="6" spans="1:1" ht="20" x14ac:dyDescent="0.2">
      <c r="A6" s="14" t="s">
        <v>117</v>
      </c>
    </row>
    <row r="7" spans="1:1" ht="20" x14ac:dyDescent="0.2">
      <c r="A7" s="14" t="s">
        <v>77</v>
      </c>
    </row>
    <row r="8" spans="1:1" ht="20" x14ac:dyDescent="0.2">
      <c r="A8" s="14" t="s">
        <v>125</v>
      </c>
    </row>
    <row r="9" spans="1:1" ht="24" x14ac:dyDescent="0.3">
      <c r="A9" s="14" t="s">
        <v>128</v>
      </c>
    </row>
    <row r="10" spans="1:1" ht="20" x14ac:dyDescent="0.2">
      <c r="A10" s="14" t="s">
        <v>126</v>
      </c>
    </row>
    <row r="11" spans="1:1" ht="20" x14ac:dyDescent="0.2">
      <c r="A11" s="14" t="s">
        <v>127</v>
      </c>
    </row>
    <row r="15" spans="1:1" ht="20" x14ac:dyDescent="0.2">
      <c r="A15" s="15" t="s">
        <v>82</v>
      </c>
    </row>
    <row r="16" spans="1:1" ht="18" x14ac:dyDescent="0.2">
      <c r="A16" s="45" t="s">
        <v>81</v>
      </c>
    </row>
    <row r="17" spans="1:1" ht="18" x14ac:dyDescent="0.2">
      <c r="A17" s="4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0953-3C4B-024D-94E2-9D4CA658094E}">
  <dimension ref="A1:AC87"/>
  <sheetViews>
    <sheetView zoomScaleNormal="100" workbookViewId="0"/>
  </sheetViews>
  <sheetFormatPr baseColWidth="10" defaultColWidth="10.83203125" defaultRowHeight="14" x14ac:dyDescent="0.2"/>
  <cols>
    <col min="1" max="1" width="58" style="1" bestFit="1" customWidth="1"/>
    <col min="2" max="4" width="10.83203125" style="1" customWidth="1"/>
    <col min="5" max="21" width="10.83203125" style="1"/>
    <col min="22" max="22" width="25.1640625" style="1" bestFit="1" customWidth="1"/>
    <col min="23" max="16384" width="10.83203125" style="1"/>
  </cols>
  <sheetData>
    <row r="1" spans="1:29" ht="20" x14ac:dyDescent="0.2">
      <c r="A1" s="25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8" x14ac:dyDescent="0.2">
      <c r="A2" s="4"/>
      <c r="B2" s="4" t="s">
        <v>51</v>
      </c>
      <c r="C2" s="4" t="s">
        <v>52</v>
      </c>
      <c r="D2" s="4" t="s">
        <v>53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4</v>
      </c>
      <c r="N2" s="4" t="s">
        <v>5</v>
      </c>
      <c r="O2" s="4" t="s">
        <v>6</v>
      </c>
      <c r="P2" s="3" t="s">
        <v>8</v>
      </c>
      <c r="Q2" s="3" t="s">
        <v>37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4" t="s">
        <v>46</v>
      </c>
      <c r="B3" s="7">
        <v>2</v>
      </c>
      <c r="C3" s="7">
        <v>2</v>
      </c>
      <c r="D3" s="7">
        <v>3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5</v>
      </c>
      <c r="L3" s="7">
        <v>3</v>
      </c>
      <c r="M3" s="7">
        <v>0.5</v>
      </c>
      <c r="N3" s="7">
        <v>0.5</v>
      </c>
      <c r="O3" s="7">
        <v>0.5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1" t="s">
        <v>47</v>
      </c>
      <c r="B4" s="7">
        <v>1</v>
      </c>
      <c r="C4" s="7">
        <v>1</v>
      </c>
      <c r="D4" s="7">
        <v>2</v>
      </c>
      <c r="E4" s="7">
        <v>1</v>
      </c>
      <c r="F4" s="7">
        <v>1</v>
      </c>
      <c r="G4" s="7">
        <v>1</v>
      </c>
      <c r="H4" s="7">
        <v>1</v>
      </c>
      <c r="I4" s="7">
        <v>2</v>
      </c>
      <c r="J4" s="7">
        <v>2</v>
      </c>
      <c r="K4" s="7">
        <v>2</v>
      </c>
      <c r="L4" s="7">
        <v>2</v>
      </c>
      <c r="M4" s="7">
        <v>0</v>
      </c>
      <c r="N4" s="7">
        <v>0</v>
      </c>
      <c r="O4" s="7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1" t="s">
        <v>35</v>
      </c>
      <c r="B5" s="7">
        <v>60.8</v>
      </c>
      <c r="C5" s="7">
        <v>79.87</v>
      </c>
      <c r="D5" s="7">
        <v>101.96</v>
      </c>
      <c r="E5" s="7">
        <v>71.849999999999994</v>
      </c>
      <c r="F5" s="7">
        <v>70.94</v>
      </c>
      <c r="G5" s="7">
        <v>40.299999999999997</v>
      </c>
      <c r="H5" s="7">
        <v>56.08</v>
      </c>
      <c r="I5" s="7">
        <v>61.98</v>
      </c>
      <c r="J5" s="7">
        <v>94.2</v>
      </c>
      <c r="K5" s="7">
        <v>141.94</v>
      </c>
      <c r="L5" s="7">
        <v>152</v>
      </c>
      <c r="M5" s="7">
        <v>19</v>
      </c>
      <c r="N5" s="7">
        <v>35.5</v>
      </c>
      <c r="O5" s="7">
        <v>17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3"/>
      <c r="O6" s="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s="9" customFormat="1" x14ac:dyDescent="0.15">
      <c r="A7" s="16" t="s">
        <v>9</v>
      </c>
      <c r="B7" s="48">
        <v>0.64914285714285724</v>
      </c>
      <c r="C7" s="48">
        <v>4.3714285714285712E-2</v>
      </c>
      <c r="D7" s="48">
        <v>2.471428571428572E-2</v>
      </c>
      <c r="E7" s="48">
        <v>1.5331428571428571</v>
      </c>
      <c r="F7" s="48">
        <v>0.25414285714285711</v>
      </c>
      <c r="G7" s="48">
        <v>0.1367142857142857</v>
      </c>
      <c r="H7" s="48">
        <v>53.643999999999991</v>
      </c>
      <c r="I7" s="48">
        <v>1.9285714285714285E-2</v>
      </c>
      <c r="J7" s="48">
        <v>8.8571428571428568E-3</v>
      </c>
      <c r="K7" s="48">
        <v>40.869428571428571</v>
      </c>
      <c r="L7" s="49">
        <v>0</v>
      </c>
      <c r="M7" s="49">
        <v>2.7001999999999997</v>
      </c>
      <c r="N7" s="49">
        <v>0.04</v>
      </c>
      <c r="O7" s="50">
        <v>0</v>
      </c>
      <c r="P7" s="21">
        <f>SUM(B7:O7)</f>
        <v>99.923342857142856</v>
      </c>
    </row>
    <row r="8" spans="1:29" x14ac:dyDescent="0.2">
      <c r="A8" s="1" t="s">
        <v>36</v>
      </c>
      <c r="B8" s="7">
        <f>B7/B5*B3</f>
        <v>2.1353383458646621E-2</v>
      </c>
      <c r="C8" s="7">
        <f t="shared" ref="C8:L8" si="0">C7/C5*C3</f>
        <v>1.0946359262372783E-3</v>
      </c>
      <c r="D8" s="7">
        <f t="shared" si="0"/>
        <v>7.2717592333127856E-4</v>
      </c>
      <c r="E8" s="7">
        <f t="shared" si="0"/>
        <v>2.1338105179441298E-2</v>
      </c>
      <c r="F8" s="7">
        <f t="shared" si="0"/>
        <v>3.5825043296145633E-3</v>
      </c>
      <c r="G8" s="7">
        <f t="shared" si="0"/>
        <v>3.3924140375753281E-3</v>
      </c>
      <c r="H8" s="7">
        <f t="shared" si="0"/>
        <v>0.95656205420827378</v>
      </c>
      <c r="I8" s="7">
        <f t="shared" si="0"/>
        <v>3.111602821186558E-4</v>
      </c>
      <c r="J8" s="7">
        <f t="shared" si="0"/>
        <v>9.4024871094934784E-5</v>
      </c>
      <c r="K8" s="7">
        <f t="shared" si="0"/>
        <v>1.4396726987258199</v>
      </c>
      <c r="L8" s="7">
        <f t="shared" si="0"/>
        <v>0</v>
      </c>
      <c r="M8" s="8">
        <f>M7/M5</f>
        <v>0.1421157894736842</v>
      </c>
      <c r="N8" s="8">
        <f>N7/N5</f>
        <v>1.1267605633802818E-3</v>
      </c>
      <c r="O8" s="8"/>
      <c r="P8" s="8">
        <f>SUM(B8:N8)</f>
        <v>2.5913707069792187</v>
      </c>
      <c r="Q8" s="5">
        <f>P8-0.5*M8-0.5*N8</f>
        <v>2.5197494319606863</v>
      </c>
    </row>
    <row r="9" spans="1:29" x14ac:dyDescent="0.2">
      <c r="A9" s="1" t="s">
        <v>45</v>
      </c>
      <c r="B9" s="7">
        <f>(26-(27-26*(P8/Q8))/(2-(P8/Q8)))/Q8</f>
        <v>10.211883691263274</v>
      </c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8"/>
      <c r="O9" s="8"/>
      <c r="P9" s="8"/>
    </row>
    <row r="10" spans="1:29" x14ac:dyDescent="0.2">
      <c r="A10" s="1" t="s">
        <v>7</v>
      </c>
      <c r="B10" s="7">
        <f t="shared" ref="B10:L10" si="1">B7/B5*B3*$B$9/B3*B4</f>
        <v>0.1090291341473222</v>
      </c>
      <c r="C10" s="7">
        <f t="shared" si="1"/>
        <v>5.5891473815066657E-3</v>
      </c>
      <c r="D10" s="7">
        <f t="shared" si="1"/>
        <v>4.9505573014306647E-3</v>
      </c>
      <c r="E10" s="7">
        <f t="shared" si="1"/>
        <v>0.217902248284397</v>
      </c>
      <c r="F10" s="7">
        <f t="shared" si="1"/>
        <v>3.6584117537471032E-2</v>
      </c>
      <c r="G10" s="7">
        <f t="shared" si="1"/>
        <v>3.4642937584328092E-2</v>
      </c>
      <c r="H10" s="7">
        <f t="shared" si="1"/>
        <v>9.7683004410507674</v>
      </c>
      <c r="I10" s="7">
        <f t="shared" si="1"/>
        <v>6.3550652206727613E-3</v>
      </c>
      <c r="J10" s="7">
        <f t="shared" si="1"/>
        <v>1.9203420954149923E-3</v>
      </c>
      <c r="K10" s="7">
        <f t="shared" si="1"/>
        <v>5.8807080611500746</v>
      </c>
      <c r="L10" s="7">
        <f t="shared" si="1"/>
        <v>0</v>
      </c>
      <c r="M10" s="7">
        <f>M8*$B$9</f>
        <v>1.4512699127973205</v>
      </c>
      <c r="N10" s="7">
        <f>N8*$B$9</f>
        <v>1.1506347821141719E-2</v>
      </c>
      <c r="O10" s="7">
        <f>2-M10-N10</f>
        <v>0.53722373938153778</v>
      </c>
      <c r="P10" s="8"/>
    </row>
    <row r="11" spans="1:29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</row>
    <row r="12" spans="1:29" ht="18" x14ac:dyDescent="0.2">
      <c r="A12" s="25" t="s">
        <v>10</v>
      </c>
      <c r="B12" s="3"/>
      <c r="C12" s="3"/>
      <c r="D12" s="3"/>
      <c r="E12" s="3"/>
      <c r="F12" s="5"/>
    </row>
    <row r="13" spans="1:29" s="9" customFormat="1" x14ac:dyDescent="0.2">
      <c r="A13" s="16" t="s">
        <v>11</v>
      </c>
      <c r="B13" s="17">
        <v>1050</v>
      </c>
      <c r="C13" s="18"/>
      <c r="D13" s="19"/>
      <c r="E13" s="20"/>
      <c r="F13" s="21"/>
    </row>
    <row r="14" spans="1:29" x14ac:dyDescent="0.2">
      <c r="A14" s="9" t="s">
        <v>32</v>
      </c>
      <c r="B14" s="11"/>
      <c r="C14" s="10"/>
      <c r="D14" s="7"/>
      <c r="E14" s="2"/>
      <c r="F14" s="5"/>
    </row>
    <row r="15" spans="1:29" ht="15" x14ac:dyDescent="0.2">
      <c r="A15" s="1" t="s">
        <v>43</v>
      </c>
      <c r="B15" s="7">
        <f>-61.9260681512942+65783.1796876913/(B13+273.15)/8.31+2.53599567918181*H10+3.22062336896664*B10+5.56939536365427*K10</f>
        <v>1.9322332919760186</v>
      </c>
      <c r="C15" s="3"/>
      <c r="D15" s="3"/>
      <c r="E15" s="3"/>
      <c r="F15" s="5"/>
    </row>
    <row r="16" spans="1:29" ht="15" x14ac:dyDescent="0.2">
      <c r="A16" s="1" t="s">
        <v>41</v>
      </c>
      <c r="B16" s="7">
        <f>-2474.08365451656+448.613976729953*K10+207.58312042747*B10</f>
        <v>186.7167826676731</v>
      </c>
      <c r="C16" s="3"/>
      <c r="D16" s="3"/>
      <c r="E16" s="3"/>
      <c r="F16" s="3"/>
    </row>
    <row r="17" spans="1:22" ht="15" x14ac:dyDescent="0.2">
      <c r="A17" s="1" t="s">
        <v>42</v>
      </c>
      <c r="B17" s="7">
        <f>0.817581105867826+0.0645260838443783*K10</f>
        <v>1.197040167285907</v>
      </c>
      <c r="C17" s="2"/>
      <c r="D17" s="2"/>
      <c r="E17" s="2"/>
      <c r="F17" s="2"/>
    </row>
    <row r="18" spans="1:22" x14ac:dyDescent="0.2">
      <c r="A18" s="9" t="s">
        <v>33</v>
      </c>
      <c r="B18" s="7"/>
      <c r="C18" s="2"/>
      <c r="D18" s="2"/>
      <c r="E18" s="2"/>
      <c r="F18" s="3"/>
    </row>
    <row r="19" spans="1:22" ht="15" x14ac:dyDescent="0.2">
      <c r="A19" s="1" t="s">
        <v>38</v>
      </c>
      <c r="B19" s="7">
        <f>-194.750048582546+66615.7411108772/(B13+273.15)/8.31+8.09915077406752*H10+14.164822613712*B10+18.6234564741488*K10</f>
        <v>1.4869014268275436</v>
      </c>
      <c r="C19" s="2"/>
      <c r="D19" s="2"/>
      <c r="E19" s="2"/>
      <c r="F19" s="3"/>
    </row>
    <row r="20" spans="1:22" ht="15" x14ac:dyDescent="0.2">
      <c r="A20" s="1" t="s">
        <v>40</v>
      </c>
      <c r="B20" s="7">
        <f>-2173.59341853157+417.257453526437*K10</f>
        <v>280.17585199630093</v>
      </c>
      <c r="C20" s="2"/>
      <c r="D20" s="2"/>
      <c r="E20" s="2"/>
      <c r="F20" s="3"/>
    </row>
    <row r="21" spans="1:22" ht="15" x14ac:dyDescent="0.2">
      <c r="A21" s="1" t="s">
        <v>39</v>
      </c>
      <c r="B21" s="7">
        <f>1.13420686227572+0.136783049036052*I10</f>
        <v>1.1350761274734267</v>
      </c>
      <c r="C21" s="2"/>
      <c r="D21" s="2"/>
      <c r="E21" s="2"/>
      <c r="F21" s="3"/>
    </row>
    <row r="22" spans="1:22" x14ac:dyDescent="0.2">
      <c r="B22" s="2"/>
      <c r="C22" s="2"/>
      <c r="D22" s="2"/>
      <c r="E22" s="2"/>
      <c r="F22" s="3"/>
    </row>
    <row r="23" spans="1:22" ht="18" x14ac:dyDescent="0.2">
      <c r="A23" s="25" t="s">
        <v>12</v>
      </c>
      <c r="B23" s="2"/>
      <c r="C23" s="2"/>
      <c r="D23" s="2"/>
      <c r="E23" s="2"/>
      <c r="F23" s="3"/>
      <c r="V23" s="1" t="s">
        <v>48</v>
      </c>
    </row>
    <row r="24" spans="1:22" x14ac:dyDescent="0.2">
      <c r="A24" s="1" t="s">
        <v>13</v>
      </c>
      <c r="B24" s="26">
        <f>EXP($B$15)*EXP(((-4*PI()*$B$16*1000000000*6.02E+23)/(8.31*($B$13+273.15)))*((($B$17*0.0000000001/2*($B$17*0.0000000001-$V24*0.0000000001)^2)-(1/3*($B$17*0.0000000001-$V24*0.0000000001)^3))))</f>
        <v>0.14268104932204545</v>
      </c>
      <c r="C24" s="2"/>
      <c r="D24" s="2"/>
      <c r="E24" s="2"/>
      <c r="F24" s="2"/>
      <c r="U24" s="1" t="s">
        <v>13</v>
      </c>
      <c r="V24" s="6">
        <v>0.9556</v>
      </c>
    </row>
    <row r="25" spans="1:22" x14ac:dyDescent="0.2">
      <c r="A25" s="1" t="s">
        <v>14</v>
      </c>
      <c r="B25" s="26">
        <f t="shared" ref="B25:B28" si="2">EXP($B$15)*EXP(((-4*PI()*$B$16*1000000000*6.02E+23)/(8.31*($B$13+273.15)))*((($B$17*0.0000000001/2*($B$17*0.0000000001-$V25*0.0000000001)^2)-(1/3*($B$17*0.0000000001-$V25*0.0000000001)^3))))</f>
        <v>0.15497141334363743</v>
      </c>
      <c r="C25" s="2"/>
      <c r="D25" s="2"/>
      <c r="E25" s="2"/>
      <c r="F25" s="2"/>
      <c r="U25" s="1" t="s">
        <v>14</v>
      </c>
      <c r="V25" s="6">
        <v>0.95840000000000003</v>
      </c>
    </row>
    <row r="26" spans="1:22" x14ac:dyDescent="0.2">
      <c r="A26" s="1" t="s">
        <v>15</v>
      </c>
      <c r="B26" s="22">
        <f t="shared" si="2"/>
        <v>6.7538952861878254</v>
      </c>
      <c r="C26" s="2"/>
      <c r="D26" s="2"/>
      <c r="E26" s="2"/>
      <c r="F26" s="2"/>
      <c r="U26" s="1" t="s">
        <v>15</v>
      </c>
      <c r="V26" s="6">
        <v>1.18</v>
      </c>
    </row>
    <row r="27" spans="1:22" ht="15" x14ac:dyDescent="0.2">
      <c r="A27" s="1" t="s">
        <v>31</v>
      </c>
      <c r="B27" s="22">
        <f t="shared" si="2"/>
        <v>2.916627279043273</v>
      </c>
      <c r="C27" s="2"/>
      <c r="D27" s="2"/>
      <c r="E27" s="2"/>
      <c r="F27" s="2"/>
      <c r="U27" s="1" t="s">
        <v>31</v>
      </c>
      <c r="V27" s="6">
        <v>1.3</v>
      </c>
    </row>
    <row r="28" spans="1:22" x14ac:dyDescent="0.2">
      <c r="A28" s="1" t="s">
        <v>16</v>
      </c>
      <c r="B28" s="22">
        <f t="shared" si="2"/>
        <v>2.4337375051338621</v>
      </c>
      <c r="C28" s="2"/>
      <c r="D28" s="2"/>
      <c r="E28" s="2"/>
      <c r="F28" s="2"/>
      <c r="U28" s="1" t="s">
        <v>16</v>
      </c>
      <c r="V28" s="6">
        <v>1.31</v>
      </c>
    </row>
    <row r="29" spans="1:22" x14ac:dyDescent="0.2">
      <c r="B29" s="23"/>
      <c r="C29" s="2"/>
      <c r="D29" s="2"/>
      <c r="E29" s="2"/>
      <c r="F29" s="2"/>
      <c r="V29" s="6"/>
    </row>
    <row r="30" spans="1:22" x14ac:dyDescent="0.2">
      <c r="A30" s="12" t="s">
        <v>17</v>
      </c>
      <c r="B30" s="24">
        <f>EXP($B$19)*EXP(((-4*PI()*$B$20*1000000000*6.02E+23)/(8.31*($B$13+273.15)))*((($B$21*0.0000000001/2*($B$21*0.0000000001-$V30*0.0000000001)^2)-(1/3*($B$21*0.0000000001-$V30*0.0000000001)^3))))</f>
        <v>2.0884402647897358</v>
      </c>
      <c r="C30" s="2"/>
      <c r="D30" s="2"/>
      <c r="E30" s="2"/>
      <c r="F30" s="2"/>
      <c r="U30" s="12" t="s">
        <v>17</v>
      </c>
      <c r="V30" s="1">
        <v>1.216</v>
      </c>
    </row>
    <row r="31" spans="1:22" x14ac:dyDescent="0.2">
      <c r="A31" s="12" t="s">
        <v>18</v>
      </c>
      <c r="B31" s="24">
        <f t="shared" ref="B31:B44" si="3">EXP($B$19)*EXP(((-4*PI()*$B$20*1000000000*6.02E+23)/(8.31*($B$13+273.15)))*((($B$21*0.0000000001/2*($B$21*0.0000000001-$V31*0.0000000001)^2)-(1/3*($B$21*0.0000000001-$V31*0.0000000001)^3))))</f>
        <v>2.9046271699044635</v>
      </c>
      <c r="C31" s="2"/>
      <c r="D31" s="2"/>
      <c r="E31" s="2"/>
      <c r="F31" s="2"/>
      <c r="U31" s="12" t="s">
        <v>18</v>
      </c>
      <c r="V31" s="1">
        <v>1.196</v>
      </c>
    </row>
    <row r="32" spans="1:22" x14ac:dyDescent="0.2">
      <c r="A32" s="12" t="s">
        <v>19</v>
      </c>
      <c r="B32" s="24">
        <f t="shared" si="3"/>
        <v>3.5622341515437768</v>
      </c>
      <c r="C32" s="2"/>
      <c r="D32" s="2"/>
      <c r="E32" s="2"/>
      <c r="F32" s="2"/>
      <c r="U32" s="12" t="s">
        <v>19</v>
      </c>
      <c r="V32" s="1">
        <v>1.179</v>
      </c>
    </row>
    <row r="33" spans="1:22" x14ac:dyDescent="0.2">
      <c r="A33" s="12" t="s">
        <v>20</v>
      </c>
      <c r="B33" s="24">
        <f t="shared" si="3"/>
        <v>4.0560014504004611</v>
      </c>
      <c r="U33" s="12" t="s">
        <v>20</v>
      </c>
      <c r="V33" s="1">
        <v>1.163</v>
      </c>
    </row>
    <row r="34" spans="1:22" x14ac:dyDescent="0.2">
      <c r="A34" s="12" t="s">
        <v>21</v>
      </c>
      <c r="B34" s="24">
        <f t="shared" si="3"/>
        <v>4.4187996289640692</v>
      </c>
      <c r="U34" s="12" t="s">
        <v>21</v>
      </c>
      <c r="V34" s="1">
        <v>1.1319999999999999</v>
      </c>
    </row>
    <row r="35" spans="1:22" ht="15" x14ac:dyDescent="0.2">
      <c r="A35" s="12" t="s">
        <v>34</v>
      </c>
      <c r="B35" s="24">
        <f t="shared" si="3"/>
        <v>4.3156841188052146</v>
      </c>
      <c r="U35" s="12" t="s">
        <v>34</v>
      </c>
      <c r="V35" s="1">
        <v>1.1200000000000001</v>
      </c>
    </row>
    <row r="36" spans="1:22" x14ac:dyDescent="0.2">
      <c r="A36" s="12" t="s">
        <v>22</v>
      </c>
      <c r="B36" s="24">
        <f t="shared" si="3"/>
        <v>4.0636677208393905</v>
      </c>
      <c r="U36" s="12" t="s">
        <v>22</v>
      </c>
      <c r="V36" s="1">
        <v>1.107</v>
      </c>
    </row>
    <row r="37" spans="1:22" x14ac:dyDescent="0.2">
      <c r="A37" s="12" t="s">
        <v>23</v>
      </c>
      <c r="B37" s="24">
        <f t="shared" si="3"/>
        <v>3.725974718447949</v>
      </c>
      <c r="U37" s="12" t="s">
        <v>23</v>
      </c>
      <c r="V37" s="1">
        <v>1.095</v>
      </c>
    </row>
    <row r="38" spans="1:22" x14ac:dyDescent="0.2">
      <c r="A38" s="12" t="s">
        <v>24</v>
      </c>
      <c r="B38" s="24">
        <f t="shared" si="3"/>
        <v>3.3177550551422206</v>
      </c>
      <c r="U38" s="12" t="s">
        <v>24</v>
      </c>
      <c r="V38" s="1">
        <v>1.083</v>
      </c>
    </row>
    <row r="39" spans="1:22" x14ac:dyDescent="0.2">
      <c r="A39" s="12" t="s">
        <v>25</v>
      </c>
      <c r="B39" s="24">
        <f t="shared" si="3"/>
        <v>3.0222123339347156</v>
      </c>
      <c r="U39" s="12" t="s">
        <v>25</v>
      </c>
      <c r="V39" s="1">
        <v>1.075</v>
      </c>
    </row>
    <row r="40" spans="1:22" x14ac:dyDescent="0.2">
      <c r="A40" s="12" t="s">
        <v>26</v>
      </c>
      <c r="B40" s="24">
        <f t="shared" si="3"/>
        <v>2.9088657419139659</v>
      </c>
      <c r="U40" s="12" t="s">
        <v>26</v>
      </c>
      <c r="V40" s="1">
        <v>1.0720000000000001</v>
      </c>
    </row>
    <row r="41" spans="1:22" x14ac:dyDescent="0.2">
      <c r="A41" s="12" t="s">
        <v>27</v>
      </c>
      <c r="B41" s="24">
        <f t="shared" si="3"/>
        <v>2.5288395807784876</v>
      </c>
      <c r="U41" s="12" t="s">
        <v>27</v>
      </c>
      <c r="V41" s="1">
        <v>1.0620000000000001</v>
      </c>
    </row>
    <row r="42" spans="1:22" x14ac:dyDescent="0.2">
      <c r="A42" s="12" t="s">
        <v>28</v>
      </c>
      <c r="B42" s="24">
        <f t="shared" si="3"/>
        <v>2.156949391774222</v>
      </c>
      <c r="U42" s="12" t="s">
        <v>28</v>
      </c>
      <c r="V42" s="1">
        <v>1.052</v>
      </c>
    </row>
    <row r="43" spans="1:22" x14ac:dyDescent="0.2">
      <c r="A43" s="12" t="s">
        <v>29</v>
      </c>
      <c r="B43" s="24">
        <f t="shared" si="3"/>
        <v>1.805706391282776</v>
      </c>
      <c r="U43" s="12" t="s">
        <v>29</v>
      </c>
      <c r="V43" s="1">
        <v>1.042</v>
      </c>
    </row>
    <row r="44" spans="1:22" x14ac:dyDescent="0.2">
      <c r="A44" s="12" t="s">
        <v>30</v>
      </c>
      <c r="B44" s="24">
        <f t="shared" si="3"/>
        <v>1.4842609201356696</v>
      </c>
      <c r="U44" s="12" t="s">
        <v>30</v>
      </c>
      <c r="V44" s="1">
        <v>1.032</v>
      </c>
    </row>
    <row r="54" spans="1:9" x14ac:dyDescent="0.2">
      <c r="A54" s="4"/>
      <c r="B54" s="4"/>
      <c r="F54" s="9"/>
    </row>
    <row r="55" spans="1:9" x14ac:dyDescent="0.2">
      <c r="A55" s="4"/>
      <c r="B55" s="7"/>
      <c r="C55" s="7"/>
      <c r="D55" s="7"/>
      <c r="E55" s="3"/>
      <c r="F55" s="35"/>
      <c r="G55" s="7"/>
      <c r="H55" s="7"/>
      <c r="I55" s="7"/>
    </row>
    <row r="56" spans="1:9" x14ac:dyDescent="0.2">
      <c r="A56" s="4"/>
      <c r="B56" s="7"/>
      <c r="C56" s="7"/>
      <c r="D56" s="7"/>
      <c r="E56" s="3"/>
      <c r="F56" s="35"/>
      <c r="G56" s="7"/>
      <c r="H56" s="7"/>
      <c r="I56" s="7"/>
    </row>
    <row r="57" spans="1:9" x14ac:dyDescent="0.2">
      <c r="A57" s="4"/>
      <c r="B57" s="7"/>
      <c r="C57" s="7"/>
      <c r="D57" s="7"/>
      <c r="E57" s="3"/>
      <c r="F57" s="35"/>
      <c r="G57" s="7"/>
      <c r="H57" s="7"/>
      <c r="I57" s="7"/>
    </row>
    <row r="58" spans="1:9" x14ac:dyDescent="0.2">
      <c r="A58" s="4"/>
      <c r="B58" s="7"/>
      <c r="C58" s="7"/>
      <c r="D58" s="7"/>
      <c r="E58" s="3"/>
      <c r="F58" s="35"/>
      <c r="G58" s="7"/>
      <c r="H58" s="7"/>
      <c r="I58" s="7"/>
    </row>
    <row r="59" spans="1:9" x14ac:dyDescent="0.2">
      <c r="A59" s="4"/>
      <c r="B59" s="7"/>
      <c r="C59" s="7"/>
      <c r="D59" s="7"/>
      <c r="E59" s="3"/>
      <c r="F59" s="35"/>
      <c r="G59" s="7"/>
      <c r="H59" s="7"/>
      <c r="I59" s="7"/>
    </row>
    <row r="60" spans="1:9" x14ac:dyDescent="0.2">
      <c r="A60" s="4"/>
      <c r="B60" s="7"/>
      <c r="C60" s="7"/>
      <c r="D60" s="7"/>
      <c r="E60" s="3"/>
      <c r="F60" s="35"/>
      <c r="G60" s="7"/>
      <c r="H60" s="7"/>
      <c r="I60" s="7"/>
    </row>
    <row r="61" spans="1:9" x14ac:dyDescent="0.2">
      <c r="A61" s="4"/>
      <c r="B61" s="7"/>
      <c r="C61" s="7"/>
      <c r="D61" s="7"/>
      <c r="E61" s="3"/>
      <c r="F61" s="35"/>
      <c r="G61" s="7"/>
      <c r="H61" s="7"/>
      <c r="I61" s="7"/>
    </row>
    <row r="62" spans="1:9" x14ac:dyDescent="0.2">
      <c r="A62" s="4"/>
      <c r="B62" s="7"/>
      <c r="C62" s="7"/>
      <c r="D62" s="7"/>
      <c r="E62" s="3"/>
      <c r="F62" s="35"/>
      <c r="G62" s="7"/>
      <c r="H62" s="7"/>
      <c r="I62" s="7"/>
    </row>
    <row r="63" spans="1:9" x14ac:dyDescent="0.2">
      <c r="A63" s="4"/>
      <c r="B63" s="7"/>
      <c r="C63" s="7"/>
      <c r="D63" s="7"/>
      <c r="E63" s="3"/>
      <c r="F63" s="35"/>
      <c r="G63" s="7"/>
      <c r="H63" s="7"/>
      <c r="I63" s="7"/>
    </row>
    <row r="64" spans="1:9" x14ac:dyDescent="0.2">
      <c r="A64" s="4"/>
      <c r="B64" s="7"/>
      <c r="C64" s="7"/>
      <c r="D64" s="7"/>
      <c r="E64" s="3"/>
      <c r="F64" s="35"/>
      <c r="G64" s="7"/>
      <c r="H64" s="7"/>
      <c r="I64" s="7"/>
    </row>
    <row r="65" spans="1:9" x14ac:dyDescent="0.2">
      <c r="A65" s="4"/>
      <c r="B65" s="7"/>
      <c r="C65" s="7"/>
      <c r="D65" s="7"/>
      <c r="E65" s="3"/>
      <c r="F65" s="35"/>
      <c r="G65" s="7"/>
      <c r="H65" s="7"/>
      <c r="I65" s="7"/>
    </row>
    <row r="66" spans="1:9" x14ac:dyDescent="0.2">
      <c r="A66" s="4"/>
      <c r="B66" s="7"/>
      <c r="C66" s="7"/>
      <c r="D66" s="7"/>
      <c r="E66" s="2"/>
      <c r="F66" s="35"/>
      <c r="G66" s="8"/>
      <c r="H66" s="8"/>
      <c r="I66" s="7"/>
    </row>
    <row r="67" spans="1:9" x14ac:dyDescent="0.2">
      <c r="A67" s="4"/>
      <c r="B67" s="7"/>
      <c r="C67" s="7"/>
      <c r="D67" s="7"/>
      <c r="E67" s="3"/>
      <c r="F67" s="35"/>
      <c r="G67" s="8"/>
      <c r="H67" s="8"/>
      <c r="I67" s="7"/>
    </row>
    <row r="68" spans="1:9" x14ac:dyDescent="0.2">
      <c r="A68" s="4"/>
      <c r="B68" s="7"/>
      <c r="C68" s="7"/>
      <c r="D68" s="7"/>
      <c r="E68" s="3"/>
      <c r="F68" s="27"/>
      <c r="G68" s="8"/>
      <c r="H68" s="8"/>
      <c r="I68" s="7"/>
    </row>
    <row r="69" spans="1:9" x14ac:dyDescent="0.2">
      <c r="A69" s="3"/>
      <c r="B69" s="3"/>
      <c r="C69" s="3"/>
      <c r="D69" s="3"/>
      <c r="E69" s="2"/>
      <c r="F69" s="21"/>
      <c r="G69" s="8"/>
      <c r="H69" s="8"/>
      <c r="I69" s="8"/>
    </row>
    <row r="70" spans="1:9" x14ac:dyDescent="0.2">
      <c r="A70" s="3"/>
      <c r="B70" s="3"/>
      <c r="C70" s="3"/>
      <c r="D70" s="3"/>
      <c r="E70" s="2"/>
      <c r="F70" s="9"/>
      <c r="G70" s="5"/>
    </row>
    <row r="74" spans="1:9" x14ac:dyDescent="0.2">
      <c r="F74" s="7"/>
    </row>
    <row r="75" spans="1:9" x14ac:dyDescent="0.2">
      <c r="F75" s="7"/>
    </row>
    <row r="76" spans="1:9" x14ac:dyDescent="0.2">
      <c r="F76" s="7"/>
    </row>
    <row r="77" spans="1:9" x14ac:dyDescent="0.2">
      <c r="F77" s="7"/>
    </row>
    <row r="78" spans="1:9" x14ac:dyDescent="0.2">
      <c r="F78" s="7"/>
    </row>
    <row r="79" spans="1:9" x14ac:dyDescent="0.2">
      <c r="F79" s="7"/>
    </row>
    <row r="80" spans="1:9" x14ac:dyDescent="0.2">
      <c r="F80" s="7"/>
    </row>
    <row r="81" spans="6:6" x14ac:dyDescent="0.2">
      <c r="F81" s="7"/>
    </row>
    <row r="82" spans="6:6" x14ac:dyDescent="0.2">
      <c r="F82" s="7"/>
    </row>
    <row r="83" spans="6:6" x14ac:dyDescent="0.2">
      <c r="F83" s="7"/>
    </row>
    <row r="84" spans="6:6" x14ac:dyDescent="0.2">
      <c r="F84" s="7"/>
    </row>
    <row r="85" spans="6:6" x14ac:dyDescent="0.2">
      <c r="F85" s="7"/>
    </row>
    <row r="86" spans="6:6" x14ac:dyDescent="0.2">
      <c r="F86" s="7"/>
    </row>
    <row r="87" spans="6:6" x14ac:dyDescent="0.2">
      <c r="F87" s="7"/>
    </row>
  </sheetData>
  <conditionalFormatting sqref="A2:A3 B2:L6 N2:O6 B12:E12">
    <cfRule type="cellIs" dxfId="13" priority="8" stopIfTrue="1" operator="lessThan">
      <formula>0</formula>
    </cfRule>
  </conditionalFormatting>
  <conditionalFormatting sqref="A54:B54 A55:E65 A67:E68">
    <cfRule type="cellIs" dxfId="12" priority="3" stopIfTrue="1" operator="lessThan">
      <formula>0</formula>
    </cfRule>
  </conditionalFormatting>
  <conditionalFormatting sqref="A69:D70">
    <cfRule type="cellIs" dxfId="11" priority="4" stopIfTrue="1" operator="lessThan">
      <formula>0</formula>
    </cfRule>
  </conditionalFormatting>
  <conditionalFormatting sqref="B8:L9 B10:O11 B15:E16">
    <cfRule type="cellIs" dxfId="10" priority="12" stopIfTrue="1" operator="lessThan">
      <formula>0</formula>
    </cfRule>
  </conditionalFormatting>
  <conditionalFormatting sqref="F16">
    <cfRule type="cellIs" dxfId="9" priority="11" stopIfTrue="1" operator="lessThan">
      <formula>0</formula>
    </cfRule>
  </conditionalFormatting>
  <conditionalFormatting sqref="F18:F23">
    <cfRule type="cellIs" dxfId="8" priority="10" stopIfTrue="1" operator="lessThan">
      <formula>0</formula>
    </cfRule>
  </conditionalFormatting>
  <conditionalFormatting sqref="F68">
    <cfRule type="cellIs" dxfId="7" priority="2" stopIfTrue="1" operator="lessThan">
      <formula>0</formula>
    </cfRule>
  </conditionalFormatting>
  <conditionalFormatting sqref="F74:F87">
    <cfRule type="cellIs" dxfId="6" priority="1" stopIfTrue="1" operator="lessThan">
      <formula>0</formula>
    </cfRule>
  </conditionalFormatting>
  <conditionalFormatting sqref="G55:H65 I55:I68">
    <cfRule type="cellIs" dxfId="5" priority="5" stopIfTrue="1" operator="lessThan">
      <formula>0</formula>
    </cfRule>
  </conditionalFormatting>
  <conditionalFormatting sqref="O7">
    <cfRule type="cellIs" dxfId="4" priority="7" stopIfTrue="1" operator="lessThan">
      <formula>0</formula>
    </cfRule>
  </conditionalFormatting>
  <conditionalFormatting sqref="P1:AC5">
    <cfRule type="cellIs" dxfId="3" priority="9" stopIfTrue="1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30E9-FDE4-E144-847A-770B964AF0DB}">
  <dimension ref="A1:AE9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0.83203125" defaultRowHeight="16" x14ac:dyDescent="0.2"/>
  <cols>
    <col min="1" max="1" width="18.5" style="33" customWidth="1"/>
    <col min="2" max="2" width="10.83203125" style="33"/>
    <col min="3" max="3" width="12.5" style="33" bestFit="1" customWidth="1"/>
    <col min="4" max="4" width="10.83203125" style="33"/>
    <col min="5" max="5" width="13.1640625" style="33" bestFit="1" customWidth="1"/>
    <col min="6" max="16384" width="10.83203125" style="33"/>
  </cols>
  <sheetData>
    <row r="1" spans="1:31" x14ac:dyDescent="0.2">
      <c r="A1" s="46" t="s">
        <v>124</v>
      </c>
    </row>
    <row r="2" spans="1:31" x14ac:dyDescent="0.2">
      <c r="A2" s="31" t="s">
        <v>99</v>
      </c>
      <c r="B2" s="54" t="s">
        <v>105</v>
      </c>
      <c r="C2" s="54"/>
      <c r="D2" s="54"/>
      <c r="E2" s="54"/>
      <c r="F2" s="54"/>
      <c r="G2" s="54"/>
      <c r="H2" s="54"/>
      <c r="I2" s="54"/>
      <c r="J2" s="54"/>
      <c r="K2" s="54"/>
      <c r="L2" s="54" t="s">
        <v>106</v>
      </c>
      <c r="M2" s="54"/>
      <c r="N2" s="54"/>
      <c r="O2" s="54"/>
      <c r="P2" s="54" t="s">
        <v>100</v>
      </c>
      <c r="Q2" s="54"/>
      <c r="R2" s="54"/>
      <c r="S2" s="54"/>
      <c r="T2" s="54"/>
      <c r="U2" s="54"/>
      <c r="V2" s="54"/>
      <c r="W2" s="54"/>
      <c r="X2" s="54"/>
      <c r="Y2" s="31"/>
      <c r="Z2" s="31"/>
      <c r="AA2" s="31"/>
      <c r="AB2" s="53" t="s">
        <v>107</v>
      </c>
      <c r="AC2" s="55" t="s">
        <v>108</v>
      </c>
      <c r="AD2" s="55"/>
      <c r="AE2" s="46" t="s">
        <v>120</v>
      </c>
    </row>
    <row r="3" spans="1:31" x14ac:dyDescent="0.2">
      <c r="A3" s="36" t="s">
        <v>80</v>
      </c>
      <c r="B3" s="33">
        <v>72</v>
      </c>
      <c r="C3" s="33">
        <v>78</v>
      </c>
      <c r="D3" s="33">
        <v>77</v>
      </c>
      <c r="E3" s="33" t="s">
        <v>83</v>
      </c>
      <c r="F3" s="33" t="s">
        <v>84</v>
      </c>
      <c r="G3" s="33" t="s">
        <v>85</v>
      </c>
      <c r="H3" s="33" t="s">
        <v>86</v>
      </c>
      <c r="I3" s="33" t="s">
        <v>87</v>
      </c>
      <c r="J3" s="33">
        <v>43</v>
      </c>
      <c r="K3" s="33" t="s">
        <v>88</v>
      </c>
      <c r="L3" s="33" t="s">
        <v>89</v>
      </c>
      <c r="M3" s="33" t="s">
        <v>90</v>
      </c>
      <c r="N3" s="33" t="s">
        <v>90</v>
      </c>
      <c r="O3" s="33" t="s">
        <v>90</v>
      </c>
      <c r="P3" s="33" t="s">
        <v>111</v>
      </c>
      <c r="Q3" s="33" t="s">
        <v>91</v>
      </c>
      <c r="R3" s="33" t="s">
        <v>92</v>
      </c>
      <c r="S3" s="33" t="s">
        <v>93</v>
      </c>
      <c r="T3" s="33" t="s">
        <v>94</v>
      </c>
      <c r="U3" s="33" t="s">
        <v>95</v>
      </c>
      <c r="V3" s="33" t="s">
        <v>112</v>
      </c>
      <c r="W3" s="33" t="s">
        <v>96</v>
      </c>
      <c r="X3" s="33" t="s">
        <v>97</v>
      </c>
      <c r="Y3" s="33" t="s">
        <v>113</v>
      </c>
      <c r="Z3" s="33" t="s">
        <v>114</v>
      </c>
      <c r="AA3" s="33" t="s">
        <v>115</v>
      </c>
      <c r="AB3" s="33" t="s">
        <v>98</v>
      </c>
      <c r="AC3" s="33" t="s">
        <v>109</v>
      </c>
      <c r="AD3" s="33" t="s">
        <v>110</v>
      </c>
      <c r="AE3" s="33" t="s">
        <v>121</v>
      </c>
    </row>
    <row r="4" spans="1:31" ht="18" x14ac:dyDescent="0.2">
      <c r="A4" s="37" t="s">
        <v>67</v>
      </c>
      <c r="B4" s="32">
        <v>0.31</v>
      </c>
      <c r="C4" s="32">
        <v>0.33</v>
      </c>
      <c r="D4" s="32">
        <v>0.26</v>
      </c>
      <c r="E4" s="32">
        <v>0.55000000000000004</v>
      </c>
      <c r="F4" s="32">
        <v>0.88</v>
      </c>
      <c r="G4" s="32">
        <v>0.45</v>
      </c>
      <c r="H4" s="32">
        <v>0.63</v>
      </c>
      <c r="I4" s="32">
        <v>0.59</v>
      </c>
      <c r="J4" s="32">
        <v>0.15</v>
      </c>
      <c r="K4" s="32">
        <v>0.25</v>
      </c>
      <c r="L4" s="32">
        <v>1.08</v>
      </c>
      <c r="M4" s="32">
        <v>0.3</v>
      </c>
      <c r="N4" s="32">
        <v>0.51</v>
      </c>
      <c r="O4" s="32">
        <v>1.98</v>
      </c>
      <c r="P4" s="32">
        <v>0.64914285714285724</v>
      </c>
      <c r="Q4" s="32">
        <v>0.78955555555555557</v>
      </c>
      <c r="R4" s="32">
        <v>0.92685714285714293</v>
      </c>
      <c r="S4" s="32">
        <v>0.81</v>
      </c>
      <c r="T4" s="32">
        <v>0.63862499999999989</v>
      </c>
      <c r="U4" s="32">
        <v>1.84</v>
      </c>
      <c r="V4" s="32">
        <v>0.52742857142857147</v>
      </c>
      <c r="W4" s="32">
        <v>1.8735714285714287</v>
      </c>
      <c r="X4" s="32">
        <v>1.36</v>
      </c>
      <c r="Y4" s="32">
        <v>0.42616666666666675</v>
      </c>
      <c r="Z4" s="32">
        <v>0.53889999999999993</v>
      </c>
      <c r="AA4" s="32">
        <v>0.60016666666666663</v>
      </c>
      <c r="AB4" s="32">
        <v>0.48193383333333334</v>
      </c>
      <c r="AC4" s="51">
        <v>0.66</v>
      </c>
      <c r="AD4" s="51">
        <v>0.67</v>
      </c>
      <c r="AE4" s="51">
        <v>2.9</v>
      </c>
    </row>
    <row r="5" spans="1:31" ht="18" x14ac:dyDescent="0.2">
      <c r="A5" s="37" t="s">
        <v>68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>
        <v>4.3714285714285712E-2</v>
      </c>
      <c r="Q5" s="32">
        <v>7.1111111111111111E-2</v>
      </c>
      <c r="R5" s="32">
        <v>3.5571428571428573E-2</v>
      </c>
      <c r="S5" s="32">
        <v>7.0000000000000007E-2</v>
      </c>
      <c r="T5" s="32">
        <v>4.1499999999999995E-2</v>
      </c>
      <c r="U5" s="32">
        <v>0.05</v>
      </c>
      <c r="V5" s="32">
        <v>5.4999999999999993E-2</v>
      </c>
      <c r="W5" s="32">
        <v>0.14185714285714285</v>
      </c>
      <c r="X5" s="32">
        <v>7.0000000000000007E-2</v>
      </c>
      <c r="Y5" s="32">
        <v>1.8166666666666668E-2</v>
      </c>
      <c r="Z5" s="32">
        <v>2.52E-2</v>
      </c>
      <c r="AA5" s="32">
        <v>3.1E-2</v>
      </c>
      <c r="AB5" s="32"/>
      <c r="AC5" s="51">
        <v>0.02</v>
      </c>
      <c r="AD5" s="51">
        <v>0.04</v>
      </c>
      <c r="AE5" s="51"/>
    </row>
    <row r="6" spans="1:31" ht="18" x14ac:dyDescent="0.2">
      <c r="A6" s="37" t="s">
        <v>69</v>
      </c>
      <c r="B6" s="32">
        <v>0</v>
      </c>
      <c r="C6" s="32">
        <v>0.01</v>
      </c>
      <c r="D6" s="32">
        <v>0.02</v>
      </c>
      <c r="E6" s="32">
        <v>0.04</v>
      </c>
      <c r="F6" s="32">
        <v>0.04</v>
      </c>
      <c r="G6" s="32">
        <v>0.01</v>
      </c>
      <c r="H6" s="32">
        <v>0.01</v>
      </c>
      <c r="I6" s="32">
        <v>0</v>
      </c>
      <c r="J6" s="32">
        <v>0.01</v>
      </c>
      <c r="K6" s="32">
        <v>0.01</v>
      </c>
      <c r="L6" s="32"/>
      <c r="M6" s="32"/>
      <c r="N6" s="32"/>
      <c r="O6" s="32"/>
      <c r="P6" s="32">
        <v>2.471428571428572E-2</v>
      </c>
      <c r="Q6" s="32">
        <v>3.8777777777777779E-2</v>
      </c>
      <c r="R6" s="32">
        <v>7.2714285714285717E-2</v>
      </c>
      <c r="S6" s="32">
        <v>0.02</v>
      </c>
      <c r="T6" s="32">
        <v>7.337500000000001E-2</v>
      </c>
      <c r="U6" s="32">
        <v>0.04</v>
      </c>
      <c r="V6" s="32">
        <v>5.7714285714285718E-2</v>
      </c>
      <c r="W6" s="32">
        <v>4.7142857142857146E-2</v>
      </c>
      <c r="X6" s="32">
        <v>0.04</v>
      </c>
      <c r="Y6" s="32">
        <v>4.0833333333333326E-2</v>
      </c>
      <c r="Z6" s="32">
        <v>9.0000000000000011E-2</v>
      </c>
      <c r="AA6" s="32">
        <v>2.7333333333333338E-2</v>
      </c>
      <c r="AB6" s="32"/>
      <c r="AC6" s="51">
        <v>0.03</v>
      </c>
      <c r="AD6" s="51">
        <v>0.11</v>
      </c>
      <c r="AE6" s="51"/>
    </row>
    <row r="7" spans="1:31" x14ac:dyDescent="0.2">
      <c r="A7" s="37" t="s">
        <v>0</v>
      </c>
      <c r="B7" s="32">
        <v>0</v>
      </c>
      <c r="C7" s="32">
        <v>0.02</v>
      </c>
      <c r="D7" s="32">
        <v>0.03</v>
      </c>
      <c r="E7" s="32">
        <v>0.02</v>
      </c>
      <c r="F7" s="32">
        <v>0.19</v>
      </c>
      <c r="G7" s="32">
        <v>0.28999999999999998</v>
      </c>
      <c r="H7" s="32">
        <v>0.02</v>
      </c>
      <c r="I7" s="32">
        <v>0.01</v>
      </c>
      <c r="J7" s="32">
        <v>0</v>
      </c>
      <c r="K7" s="32">
        <v>0</v>
      </c>
      <c r="L7" s="32">
        <v>0.61</v>
      </c>
      <c r="M7" s="32">
        <v>0.63</v>
      </c>
      <c r="N7" s="32">
        <v>0.56999999999999995</v>
      </c>
      <c r="O7" s="32">
        <v>0.64</v>
      </c>
      <c r="P7" s="32">
        <v>1.5331428571428571</v>
      </c>
      <c r="Q7" s="32">
        <v>1.9906666666666668</v>
      </c>
      <c r="R7" s="32">
        <v>2.468</v>
      </c>
      <c r="S7" s="32">
        <v>1.7</v>
      </c>
      <c r="T7" s="32">
        <v>2.0297499999999999</v>
      </c>
      <c r="U7" s="32">
        <v>2.02</v>
      </c>
      <c r="V7" s="32">
        <v>1.0387142857142855</v>
      </c>
      <c r="W7" s="32">
        <v>1.5111428571428571</v>
      </c>
      <c r="X7" s="32">
        <v>1.68</v>
      </c>
      <c r="Y7" s="32">
        <v>1.5839999999999999</v>
      </c>
      <c r="Z7" s="32">
        <v>1.5311000000000001</v>
      </c>
      <c r="AA7" s="32">
        <v>1.3739999999999999</v>
      </c>
      <c r="AB7" s="32">
        <v>0.23184911111111114</v>
      </c>
      <c r="AC7" s="51">
        <v>0.14000000000000001</v>
      </c>
      <c r="AD7" s="51">
        <v>0.13</v>
      </c>
      <c r="AE7" s="51"/>
    </row>
    <row r="8" spans="1:31" x14ac:dyDescent="0.2">
      <c r="A8" s="37" t="s">
        <v>1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>
        <v>0.25414285714285711</v>
      </c>
      <c r="Q8" s="32">
        <v>0.29622222222222228</v>
      </c>
      <c r="R8" s="32">
        <v>0.39257142857142852</v>
      </c>
      <c r="S8" s="32">
        <v>0.23</v>
      </c>
      <c r="T8" s="32">
        <v>0.20825000000000002</v>
      </c>
      <c r="U8" s="32">
        <v>0.31</v>
      </c>
      <c r="V8" s="32">
        <v>0.251</v>
      </c>
      <c r="W8" s="32">
        <v>0.26771428571428574</v>
      </c>
      <c r="X8" s="32">
        <v>0.41</v>
      </c>
      <c r="Y8" s="32">
        <v>0.32149999999999995</v>
      </c>
      <c r="Z8" s="32">
        <v>0.37719999999999998</v>
      </c>
      <c r="AA8" s="32">
        <v>0.37633333333333335</v>
      </c>
      <c r="AB8" s="32">
        <v>9.4982055555555556E-2</v>
      </c>
      <c r="AC8" s="51"/>
      <c r="AD8" s="51"/>
      <c r="AE8" s="51"/>
    </row>
    <row r="9" spans="1:31" x14ac:dyDescent="0.2">
      <c r="A9" s="37" t="s">
        <v>2</v>
      </c>
      <c r="B9" s="32">
        <v>0.01</v>
      </c>
      <c r="C9" s="32">
        <v>0.05</v>
      </c>
      <c r="D9" s="32">
        <v>0.13</v>
      </c>
      <c r="E9" s="32">
        <v>0</v>
      </c>
      <c r="F9" s="32">
        <v>0.49</v>
      </c>
      <c r="G9" s="32">
        <v>0.37</v>
      </c>
      <c r="H9" s="32">
        <v>0.94</v>
      </c>
      <c r="I9" s="32">
        <v>0.66</v>
      </c>
      <c r="J9" s="32">
        <v>0.01</v>
      </c>
      <c r="K9" s="32">
        <v>0.05</v>
      </c>
      <c r="L9" s="32">
        <v>0.45</v>
      </c>
      <c r="M9" s="32">
        <v>0.55000000000000004</v>
      </c>
      <c r="N9" s="32">
        <v>0.52</v>
      </c>
      <c r="O9" s="32">
        <v>0.4</v>
      </c>
      <c r="P9" s="32">
        <v>0.1367142857142857</v>
      </c>
      <c r="Q9" s="32">
        <v>5.7000000000000002E-2</v>
      </c>
      <c r="R9" s="32">
        <v>4.9857142857142857E-2</v>
      </c>
      <c r="S9" s="32">
        <v>0.14099999999999999</v>
      </c>
      <c r="T9" s="32">
        <v>0.10337499999999999</v>
      </c>
      <c r="U9" s="32">
        <v>0.11</v>
      </c>
      <c r="V9" s="32">
        <v>0.13571428571428573</v>
      </c>
      <c r="W9" s="32">
        <v>0.13142857142857142</v>
      </c>
      <c r="X9" s="32">
        <v>0.1</v>
      </c>
      <c r="Y9" s="32">
        <v>0.22883333333333333</v>
      </c>
      <c r="Z9" s="32">
        <v>0.27810000000000001</v>
      </c>
      <c r="AA9" s="32">
        <v>0.20449999999999999</v>
      </c>
      <c r="AB9" s="32">
        <v>0.12944583333333334</v>
      </c>
      <c r="AC9" s="51">
        <v>0.9</v>
      </c>
      <c r="AD9" s="51">
        <v>1.05</v>
      </c>
      <c r="AE9" s="51"/>
    </row>
    <row r="10" spans="1:31" x14ac:dyDescent="0.2">
      <c r="A10" s="37" t="s">
        <v>3</v>
      </c>
      <c r="B10" s="32">
        <v>53.66</v>
      </c>
      <c r="C10" s="32">
        <v>53.74</v>
      </c>
      <c r="D10" s="32">
        <v>53.86</v>
      </c>
      <c r="E10" s="32">
        <v>54.59</v>
      </c>
      <c r="F10" s="32">
        <v>53.75</v>
      </c>
      <c r="G10" s="32">
        <v>54.15</v>
      </c>
      <c r="H10" s="32">
        <v>54.27</v>
      </c>
      <c r="I10" s="32">
        <v>54.06</v>
      </c>
      <c r="J10" s="32">
        <v>54.91</v>
      </c>
      <c r="K10" s="32">
        <v>54.94</v>
      </c>
      <c r="L10" s="32">
        <v>50.18</v>
      </c>
      <c r="M10" s="32">
        <v>52.91</v>
      </c>
      <c r="N10" s="32">
        <v>51.89</v>
      </c>
      <c r="O10" s="32">
        <v>48.59</v>
      </c>
      <c r="P10" s="32">
        <v>53.643999999999991</v>
      </c>
      <c r="Q10" s="32">
        <v>53.208444444444439</v>
      </c>
      <c r="R10" s="32">
        <v>50.960285714285718</v>
      </c>
      <c r="S10" s="32">
        <v>53.41</v>
      </c>
      <c r="T10" s="32">
        <v>54.313000000000002</v>
      </c>
      <c r="U10" s="32">
        <v>50.23</v>
      </c>
      <c r="V10" s="32">
        <v>52.857571428571433</v>
      </c>
      <c r="W10" s="32">
        <v>52.984142857142857</v>
      </c>
      <c r="X10" s="32">
        <v>51.49</v>
      </c>
      <c r="Y10" s="32">
        <v>52.046166666666664</v>
      </c>
      <c r="Z10" s="32">
        <v>53.265900000000002</v>
      </c>
      <c r="AA10" s="32">
        <v>52.103833333333341</v>
      </c>
      <c r="AB10" s="32">
        <v>53.240044444444443</v>
      </c>
      <c r="AC10" s="51">
        <v>53.84</v>
      </c>
      <c r="AD10" s="51">
        <v>53.48</v>
      </c>
      <c r="AE10" s="51">
        <v>46.4</v>
      </c>
    </row>
    <row r="11" spans="1:31" ht="18" x14ac:dyDescent="0.2">
      <c r="A11" s="37" t="s">
        <v>70</v>
      </c>
      <c r="B11" s="32">
        <v>0.62</v>
      </c>
      <c r="C11" s="32">
        <v>0.6</v>
      </c>
      <c r="D11" s="32">
        <v>0.36</v>
      </c>
      <c r="E11" s="32">
        <v>0.11</v>
      </c>
      <c r="F11" s="32">
        <v>0.12</v>
      </c>
      <c r="G11" s="32">
        <v>0.05</v>
      </c>
      <c r="H11" s="32">
        <v>0.02</v>
      </c>
      <c r="I11" s="32">
        <v>0.05</v>
      </c>
      <c r="J11" s="32">
        <v>0.19</v>
      </c>
      <c r="K11" s="32">
        <v>0.14000000000000001</v>
      </c>
      <c r="L11" s="32"/>
      <c r="M11" s="32"/>
      <c r="N11" s="32"/>
      <c r="O11" s="32"/>
      <c r="P11" s="32">
        <v>1.9285714285714285E-2</v>
      </c>
      <c r="Q11" s="32">
        <v>4.6444444444444441E-2</v>
      </c>
      <c r="R11" s="32">
        <v>0.15385714285714286</v>
      </c>
      <c r="S11" s="32">
        <v>0.02</v>
      </c>
      <c r="T11" s="32">
        <v>1.6875000000000001E-2</v>
      </c>
      <c r="U11" s="32">
        <v>0.13</v>
      </c>
      <c r="V11" s="32">
        <v>1.3857142857142856E-2</v>
      </c>
      <c r="W11" s="32">
        <v>8.1142857142857155E-2</v>
      </c>
      <c r="X11" s="32">
        <v>0.12</v>
      </c>
      <c r="Y11" s="32">
        <v>1.95E-2</v>
      </c>
      <c r="Z11" s="32">
        <v>1.7999999999999999E-2</v>
      </c>
      <c r="AA11" s="32">
        <v>4.4000000000000004E-2</v>
      </c>
      <c r="AB11" s="32">
        <v>0.20032583333333334</v>
      </c>
      <c r="AC11" s="51">
        <v>0.11</v>
      </c>
      <c r="AD11" s="51">
        <v>0.28000000000000003</v>
      </c>
      <c r="AE11" s="51"/>
    </row>
    <row r="12" spans="1:31" ht="18" x14ac:dyDescent="0.2">
      <c r="A12" s="37" t="s">
        <v>71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>
        <v>8.8571428571428568E-3</v>
      </c>
      <c r="Q12" s="32"/>
      <c r="R12" s="32"/>
      <c r="S12" s="32"/>
      <c r="T12" s="32">
        <v>4.3749999999999995E-3</v>
      </c>
      <c r="U12" s="32">
        <v>0.01</v>
      </c>
      <c r="V12" s="32">
        <v>6.5714285714285709E-3</v>
      </c>
      <c r="W12" s="32">
        <v>6.1428571428571435E-3</v>
      </c>
      <c r="X12" s="32">
        <v>0.01</v>
      </c>
      <c r="Y12" s="32">
        <v>3.8333333333333331E-3</v>
      </c>
      <c r="Z12" s="32">
        <v>5.1000000000000004E-3</v>
      </c>
      <c r="AA12" s="32">
        <v>5.3333333333333332E-3</v>
      </c>
      <c r="AB12" s="32"/>
      <c r="AC12" s="51"/>
      <c r="AD12" s="51"/>
      <c r="AE12" s="51"/>
    </row>
    <row r="13" spans="1:31" ht="18" x14ac:dyDescent="0.2">
      <c r="A13" s="37" t="s">
        <v>72</v>
      </c>
      <c r="B13" s="32">
        <v>41.6</v>
      </c>
      <c r="C13" s="32">
        <v>41.22</v>
      </c>
      <c r="D13" s="32">
        <v>41.4</v>
      </c>
      <c r="E13" s="32">
        <v>41.04</v>
      </c>
      <c r="F13" s="32">
        <v>40.840000000000003</v>
      </c>
      <c r="G13" s="32">
        <v>41.38</v>
      </c>
      <c r="H13" s="32">
        <v>41.83</v>
      </c>
      <c r="I13" s="32">
        <v>41.06</v>
      </c>
      <c r="J13" s="32">
        <v>42.01</v>
      </c>
      <c r="K13" s="32">
        <v>42.12</v>
      </c>
      <c r="L13" s="32">
        <v>39.49</v>
      </c>
      <c r="M13" s="32">
        <v>41.16</v>
      </c>
      <c r="N13" s="32">
        <v>40.15</v>
      </c>
      <c r="O13" s="32">
        <v>37.18</v>
      </c>
      <c r="P13" s="32">
        <v>40.869428571428571</v>
      </c>
      <c r="Q13" s="32">
        <v>40.235111111111109</v>
      </c>
      <c r="R13" s="32">
        <v>39.54971428571428</v>
      </c>
      <c r="S13" s="32">
        <v>39.729999999999997</v>
      </c>
      <c r="T13" s="32">
        <v>40.983375000000002</v>
      </c>
      <c r="U13" s="32">
        <v>38.979999999999997</v>
      </c>
      <c r="V13" s="32">
        <v>40.439142857142862</v>
      </c>
      <c r="W13" s="32">
        <v>39.432857142857138</v>
      </c>
      <c r="X13" s="32">
        <v>38.950000000000003</v>
      </c>
      <c r="Y13" s="32">
        <v>40.603000000000002</v>
      </c>
      <c r="Z13" s="32">
        <v>41.211699999999993</v>
      </c>
      <c r="AA13" s="32">
        <v>39.909333333333329</v>
      </c>
      <c r="AB13" s="32">
        <v>41.345627777777779</v>
      </c>
      <c r="AC13" s="51">
        <v>39.58</v>
      </c>
      <c r="AD13" s="51">
        <v>39.53</v>
      </c>
      <c r="AE13" s="51">
        <v>34.299999999999997</v>
      </c>
    </row>
    <row r="14" spans="1:31" ht="18" x14ac:dyDescent="0.2">
      <c r="A14" s="37" t="s">
        <v>73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51"/>
      <c r="AD14" s="51"/>
      <c r="AE14" s="51"/>
    </row>
    <row r="15" spans="1:31" x14ac:dyDescent="0.2">
      <c r="A15" s="37" t="s">
        <v>4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4.13</v>
      </c>
      <c r="I15" s="32">
        <v>0</v>
      </c>
      <c r="J15" s="32">
        <v>4.29</v>
      </c>
      <c r="K15" s="32">
        <v>4.47</v>
      </c>
      <c r="L15" s="32"/>
      <c r="M15" s="32"/>
      <c r="N15" s="32"/>
      <c r="O15" s="32"/>
      <c r="P15" s="32">
        <v>2.7001999999999997</v>
      </c>
      <c r="Q15" s="32">
        <v>0</v>
      </c>
      <c r="R15" s="32">
        <v>0</v>
      </c>
      <c r="S15" s="32">
        <v>3.88</v>
      </c>
      <c r="T15" s="32">
        <v>0</v>
      </c>
      <c r="U15" s="32">
        <v>0</v>
      </c>
      <c r="V15" s="32">
        <v>3.3239999999999998</v>
      </c>
      <c r="W15" s="32">
        <v>0</v>
      </c>
      <c r="X15" s="32">
        <v>0</v>
      </c>
      <c r="Y15" s="32">
        <v>2.9540000000000002</v>
      </c>
      <c r="Z15" s="32">
        <v>3.0472000000000001</v>
      </c>
      <c r="AA15" s="32"/>
      <c r="AB15" s="32">
        <v>3.6690450000000001</v>
      </c>
      <c r="AC15" s="51">
        <v>3.81</v>
      </c>
      <c r="AD15" s="51">
        <v>4.3600000000000003</v>
      </c>
      <c r="AE15" s="51"/>
    </row>
    <row r="16" spans="1:31" x14ac:dyDescent="0.2">
      <c r="A16" s="37" t="s">
        <v>5</v>
      </c>
      <c r="B16" s="32">
        <v>0.31</v>
      </c>
      <c r="C16" s="32">
        <v>0.54</v>
      </c>
      <c r="D16" s="32">
        <v>0.47</v>
      </c>
      <c r="E16" s="32">
        <v>0.06</v>
      </c>
      <c r="F16" s="32">
        <v>0.1</v>
      </c>
      <c r="G16" s="32">
        <v>7.0000000000000007E-2</v>
      </c>
      <c r="H16" s="32">
        <v>0.02</v>
      </c>
      <c r="I16" s="32">
        <v>0.02</v>
      </c>
      <c r="J16" s="32">
        <v>7.0000000000000007E-2</v>
      </c>
      <c r="K16" s="32">
        <v>0.05</v>
      </c>
      <c r="L16" s="32"/>
      <c r="M16" s="32"/>
      <c r="N16" s="32"/>
      <c r="O16" s="32"/>
      <c r="P16" s="32">
        <v>0.04</v>
      </c>
      <c r="Q16" s="32">
        <v>4.1666666666666671E-2</v>
      </c>
      <c r="R16" s="32">
        <v>4.6461428571428574</v>
      </c>
      <c r="S16" s="32">
        <v>0.01</v>
      </c>
      <c r="T16" s="32">
        <v>0.25212499999999999</v>
      </c>
      <c r="U16" s="32">
        <v>5.93</v>
      </c>
      <c r="V16" s="32">
        <v>1.9714285714285715E-2</v>
      </c>
      <c r="W16" s="32">
        <v>0.28737499999999999</v>
      </c>
      <c r="X16" s="32">
        <v>5.89</v>
      </c>
      <c r="Y16" s="32">
        <v>2.6499999999999996E-2</v>
      </c>
      <c r="Z16" s="32">
        <v>2.5500000000000002E-2</v>
      </c>
      <c r="AA16" s="32">
        <v>4.05</v>
      </c>
      <c r="AB16" s="32">
        <v>0.14173672222222222</v>
      </c>
      <c r="AC16" s="51">
        <v>0.02</v>
      </c>
      <c r="AD16" s="51">
        <v>0.04</v>
      </c>
      <c r="AE16" s="51">
        <v>1.1000000000000001</v>
      </c>
    </row>
    <row r="17" spans="1:31" x14ac:dyDescent="0.2">
      <c r="A17" s="29" t="s">
        <v>8</v>
      </c>
      <c r="B17" s="32">
        <f>SUM(B4:B16)</f>
        <v>96.509999999999991</v>
      </c>
      <c r="C17" s="32">
        <f t="shared" ref="C17:AE17" si="0">SUM(C4:C16)</f>
        <v>96.51</v>
      </c>
      <c r="D17" s="32">
        <f t="shared" si="0"/>
        <v>96.53</v>
      </c>
      <c r="E17" s="32">
        <f t="shared" si="0"/>
        <v>96.41</v>
      </c>
      <c r="F17" s="32">
        <f t="shared" si="0"/>
        <v>96.41</v>
      </c>
      <c r="G17" s="32">
        <f t="shared" si="0"/>
        <v>96.769999999999982</v>
      </c>
      <c r="H17" s="32">
        <f t="shared" si="0"/>
        <v>101.86999999999999</v>
      </c>
      <c r="I17" s="32">
        <f t="shared" si="0"/>
        <v>96.45</v>
      </c>
      <c r="J17" s="32">
        <f t="shared" si="0"/>
        <v>101.64</v>
      </c>
      <c r="K17" s="32">
        <f t="shared" si="0"/>
        <v>102.02999999999999</v>
      </c>
      <c r="L17" s="32">
        <f t="shared" si="0"/>
        <v>91.81</v>
      </c>
      <c r="M17" s="32">
        <f t="shared" si="0"/>
        <v>95.549999999999983</v>
      </c>
      <c r="N17" s="32">
        <f t="shared" si="0"/>
        <v>93.64</v>
      </c>
      <c r="O17" s="32">
        <f t="shared" si="0"/>
        <v>88.79</v>
      </c>
      <c r="P17" s="32">
        <f t="shared" si="0"/>
        <v>99.923342857142856</v>
      </c>
      <c r="Q17" s="32">
        <f t="shared" si="0"/>
        <v>96.774999999999991</v>
      </c>
      <c r="R17" s="32">
        <f t="shared" si="0"/>
        <v>99.255571428571429</v>
      </c>
      <c r="S17" s="32">
        <f t="shared" si="0"/>
        <v>100.021</v>
      </c>
      <c r="T17" s="32">
        <f t="shared" si="0"/>
        <v>98.664625000000015</v>
      </c>
      <c r="U17" s="32">
        <f t="shared" si="0"/>
        <v>99.65</v>
      </c>
      <c r="V17" s="32">
        <f t="shared" si="0"/>
        <v>98.726428571428571</v>
      </c>
      <c r="W17" s="32">
        <f t="shared" si="0"/>
        <v>96.764517857142849</v>
      </c>
      <c r="X17" s="32">
        <f t="shared" si="0"/>
        <v>100.12</v>
      </c>
      <c r="Y17" s="32">
        <f t="shared" si="0"/>
        <v>98.272499999999994</v>
      </c>
      <c r="Z17" s="32">
        <f t="shared" si="0"/>
        <v>100.41389999999998</v>
      </c>
      <c r="AA17" s="32">
        <f t="shared" si="0"/>
        <v>98.725833333333327</v>
      </c>
      <c r="AB17" s="32">
        <f t="shared" si="0"/>
        <v>99.534990611111098</v>
      </c>
      <c r="AC17" s="32">
        <f t="shared" si="0"/>
        <v>99.11</v>
      </c>
      <c r="AD17" s="32">
        <f t="shared" si="0"/>
        <v>99.69</v>
      </c>
      <c r="AE17" s="32">
        <f t="shared" si="0"/>
        <v>84.699999999999989</v>
      </c>
    </row>
    <row r="18" spans="1:31" x14ac:dyDescent="0.2">
      <c r="A18" s="29"/>
      <c r="B18" s="31"/>
    </row>
    <row r="19" spans="1:31" x14ac:dyDescent="0.2">
      <c r="A19" s="38" t="s">
        <v>76</v>
      </c>
      <c r="B19" s="31">
        <v>1250</v>
      </c>
      <c r="C19" s="33">
        <v>1250</v>
      </c>
      <c r="D19" s="33">
        <v>1250</v>
      </c>
      <c r="E19" s="33">
        <v>1250</v>
      </c>
      <c r="F19" s="33">
        <v>1250</v>
      </c>
      <c r="G19" s="33">
        <v>1250</v>
      </c>
      <c r="H19" s="33">
        <v>1250</v>
      </c>
      <c r="I19" s="33">
        <v>1250</v>
      </c>
      <c r="J19" s="33">
        <v>1250</v>
      </c>
      <c r="K19" s="33">
        <v>1250</v>
      </c>
      <c r="L19" s="33">
        <v>1080</v>
      </c>
      <c r="M19" s="33">
        <v>1080</v>
      </c>
      <c r="N19" s="33">
        <v>1080</v>
      </c>
      <c r="O19" s="33">
        <v>1080</v>
      </c>
      <c r="P19" s="33">
        <v>1050</v>
      </c>
      <c r="Q19" s="33">
        <v>1050</v>
      </c>
      <c r="R19" s="33">
        <v>1050</v>
      </c>
      <c r="S19" s="33">
        <v>1100</v>
      </c>
      <c r="T19" s="33">
        <v>1100</v>
      </c>
      <c r="U19" s="33">
        <v>1100</v>
      </c>
      <c r="V19" s="33">
        <v>1100</v>
      </c>
      <c r="W19" s="33">
        <v>1100</v>
      </c>
      <c r="X19" s="33">
        <v>1100</v>
      </c>
      <c r="Y19" s="33">
        <v>1100</v>
      </c>
      <c r="Z19" s="33">
        <v>1100</v>
      </c>
      <c r="AA19" s="33">
        <v>1100</v>
      </c>
      <c r="AB19" s="33">
        <v>950</v>
      </c>
      <c r="AC19" s="33">
        <v>1150</v>
      </c>
      <c r="AD19" s="33">
        <v>1110</v>
      </c>
      <c r="AE19" s="33">
        <v>800</v>
      </c>
    </row>
    <row r="21" spans="1:31" x14ac:dyDescent="0.2">
      <c r="A21" s="53" t="s">
        <v>74</v>
      </c>
      <c r="B21" s="31"/>
    </row>
    <row r="22" spans="1:31" x14ac:dyDescent="0.2">
      <c r="A22" s="28" t="s">
        <v>58</v>
      </c>
      <c r="B22" s="30">
        <f t="shared" ref="B22:X22" si="1">B4/60.8*2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2*1</f>
        <v>5.2182787817819209E-2</v>
      </c>
      <c r="C22" s="30">
        <f t="shared" si="1"/>
        <v>5.5779117524956477E-2</v>
      </c>
      <c r="D22" s="30">
        <f t="shared" si="1"/>
        <v>4.3862003741730778E-2</v>
      </c>
      <c r="E22" s="30">
        <f t="shared" si="1"/>
        <v>9.2668473232276408E-2</v>
      </c>
      <c r="F22" s="30">
        <f t="shared" si="1"/>
        <v>0.14805615021853108</v>
      </c>
      <c r="G22" s="30">
        <f t="shared" si="1"/>
        <v>7.5450829737374311E-2</v>
      </c>
      <c r="H22" s="30">
        <f t="shared" si="1"/>
        <v>0.10419446496559209</v>
      </c>
      <c r="I22" s="30">
        <f t="shared" si="1"/>
        <v>9.9137347568905854E-2</v>
      </c>
      <c r="J22" s="30">
        <f t="shared" si="1"/>
        <v>2.4995700024413169E-2</v>
      </c>
      <c r="K22" s="30">
        <f t="shared" si="1"/>
        <v>4.1526798574673618E-2</v>
      </c>
      <c r="L22" s="30">
        <f t="shared" si="1"/>
        <v>0.1896916935329673</v>
      </c>
      <c r="M22" s="30">
        <f t="shared" si="1"/>
        <v>5.0854175823302636E-2</v>
      </c>
      <c r="N22" s="30">
        <f t="shared" si="1"/>
        <v>8.821364368398707E-2</v>
      </c>
      <c r="O22" s="30">
        <f t="shared" si="1"/>
        <v>0.36022290974396798</v>
      </c>
      <c r="P22" s="30">
        <f t="shared" si="1"/>
        <v>0.1090291341473222</v>
      </c>
      <c r="Q22" s="30">
        <f t="shared" si="1"/>
        <v>0.13365352175769699</v>
      </c>
      <c r="R22" s="30">
        <f t="shared" si="1"/>
        <v>0.16019628588166104</v>
      </c>
      <c r="S22" s="30">
        <f t="shared" si="1"/>
        <v>0.13810517549288753</v>
      </c>
      <c r="T22" s="30">
        <f t="shared" si="1"/>
        <v>0.10629327362297691</v>
      </c>
      <c r="U22" s="30">
        <f t="shared" si="1"/>
        <v>0.31934311418451999</v>
      </c>
      <c r="V22" s="30">
        <f t="shared" si="1"/>
        <v>9.001998831993703E-2</v>
      </c>
      <c r="W22" s="30">
        <f t="shared" si="1"/>
        <v>0.31704636866264202</v>
      </c>
      <c r="X22" s="30">
        <f t="shared" si="1"/>
        <v>0.23579829004263139</v>
      </c>
      <c r="Y22" s="30">
        <f t="shared" ref="Y22:AD22" si="2">Y4/60.8*2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2*1</f>
        <v>7.2812185013417935E-2</v>
      </c>
      <c r="Z22" s="30">
        <f t="shared" si="2"/>
        <v>9.0207078801554166E-2</v>
      </c>
      <c r="AA22" s="30">
        <f t="shared" si="2"/>
        <v>0.103404427427331</v>
      </c>
      <c r="AB22" s="30">
        <f t="shared" si="2"/>
        <v>8.1459320986141726E-2</v>
      </c>
      <c r="AC22" s="30">
        <f t="shared" si="2"/>
        <v>0.11291297059682381</v>
      </c>
      <c r="AD22" s="30">
        <f t="shared" si="2"/>
        <v>0.1145604436334579</v>
      </c>
      <c r="AE22" s="30">
        <f t="shared" ref="AE22" si="3">AE4/60.8*2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2*1</f>
        <v>0.55955474527806415</v>
      </c>
    </row>
    <row r="23" spans="1:31" x14ac:dyDescent="0.2">
      <c r="A23" s="28" t="s">
        <v>59</v>
      </c>
      <c r="B23" s="30">
        <f t="shared" ref="B23:X23" si="4">B5/79.87*2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2*1</f>
        <v>0</v>
      </c>
      <c r="C23" s="30">
        <f t="shared" si="4"/>
        <v>0</v>
      </c>
      <c r="D23" s="30">
        <f t="shared" si="4"/>
        <v>0</v>
      </c>
      <c r="E23" s="30">
        <f t="shared" si="4"/>
        <v>0</v>
      </c>
      <c r="F23" s="30">
        <f t="shared" si="4"/>
        <v>0</v>
      </c>
      <c r="G23" s="30">
        <f t="shared" si="4"/>
        <v>0</v>
      </c>
      <c r="H23" s="30">
        <f t="shared" si="4"/>
        <v>0</v>
      </c>
      <c r="I23" s="30">
        <f t="shared" si="4"/>
        <v>0</v>
      </c>
      <c r="J23" s="30">
        <f t="shared" si="4"/>
        <v>0</v>
      </c>
      <c r="K23" s="30">
        <f t="shared" si="4"/>
        <v>0</v>
      </c>
      <c r="L23" s="30">
        <f t="shared" si="4"/>
        <v>0</v>
      </c>
      <c r="M23" s="30">
        <f t="shared" si="4"/>
        <v>0</v>
      </c>
      <c r="N23" s="30">
        <f t="shared" si="4"/>
        <v>0</v>
      </c>
      <c r="O23" s="30">
        <f t="shared" si="4"/>
        <v>0</v>
      </c>
      <c r="P23" s="30">
        <f t="shared" si="4"/>
        <v>5.5891473815066657E-3</v>
      </c>
      <c r="Q23" s="30">
        <f t="shared" si="4"/>
        <v>9.1633668267004538E-3</v>
      </c>
      <c r="R23" s="30">
        <f t="shared" si="4"/>
        <v>4.6801615418281478E-3</v>
      </c>
      <c r="S23" s="30">
        <f t="shared" si="4"/>
        <v>9.0853752609986477E-3</v>
      </c>
      <c r="T23" s="30">
        <f t="shared" si="4"/>
        <v>5.2580881004542033E-3</v>
      </c>
      <c r="U23" s="30">
        <f t="shared" si="4"/>
        <v>6.6058640611710105E-3</v>
      </c>
      <c r="V23" s="30">
        <f t="shared" si="4"/>
        <v>7.1459156292609195E-3</v>
      </c>
      <c r="W23" s="30">
        <f t="shared" si="4"/>
        <v>1.8273579698716295E-2</v>
      </c>
      <c r="X23" s="30">
        <f t="shared" si="4"/>
        <v>9.2388874791153198E-3</v>
      </c>
      <c r="Y23" s="30">
        <f t="shared" ref="Y23:AD23" si="5">Y5/79.87*2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2*1</f>
        <v>2.3627606462032053E-3</v>
      </c>
      <c r="Z23" s="30">
        <f t="shared" si="5"/>
        <v>3.2110929066698785E-3</v>
      </c>
      <c r="AA23" s="30">
        <f t="shared" si="5"/>
        <v>4.0658265908503728E-3</v>
      </c>
      <c r="AB23" s="30">
        <f t="shared" si="5"/>
        <v>0</v>
      </c>
      <c r="AC23" s="30">
        <f t="shared" si="5"/>
        <v>2.6046524891914845E-3</v>
      </c>
      <c r="AD23" s="30">
        <f t="shared" si="5"/>
        <v>5.2064268413143291E-3</v>
      </c>
      <c r="AE23" s="30">
        <f t="shared" ref="AE23" si="6">AE5/79.87*2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2*1</f>
        <v>0</v>
      </c>
    </row>
    <row r="24" spans="1:31" x14ac:dyDescent="0.2">
      <c r="A24" s="28" t="s">
        <v>60</v>
      </c>
      <c r="B24" s="30">
        <f t="shared" ref="B24:X24" si="7">B6/101.96*3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3*2</f>
        <v>0</v>
      </c>
      <c r="C24" s="30">
        <f t="shared" si="7"/>
        <v>2.0158650127306932E-3</v>
      </c>
      <c r="D24" s="30">
        <f t="shared" si="7"/>
        <v>4.0239156041543154E-3</v>
      </c>
      <c r="E24" s="30">
        <f t="shared" si="7"/>
        <v>8.0377234174148961E-3</v>
      </c>
      <c r="F24" s="30">
        <f t="shared" si="7"/>
        <v>8.0261545822663868E-3</v>
      </c>
      <c r="G24" s="30">
        <f t="shared" si="7"/>
        <v>1.9996558336743638E-3</v>
      </c>
      <c r="H24" s="30">
        <f t="shared" si="7"/>
        <v>1.9724583776731613E-3</v>
      </c>
      <c r="I24" s="30">
        <f t="shared" si="7"/>
        <v>0</v>
      </c>
      <c r="J24" s="30">
        <f t="shared" si="7"/>
        <v>1.9873657139849888E-3</v>
      </c>
      <c r="K24" s="30">
        <f t="shared" si="7"/>
        <v>1.9810351928914527E-3</v>
      </c>
      <c r="L24" s="30">
        <f t="shared" si="7"/>
        <v>0</v>
      </c>
      <c r="M24" s="30">
        <f t="shared" si="7"/>
        <v>0</v>
      </c>
      <c r="N24" s="30">
        <f t="shared" si="7"/>
        <v>0</v>
      </c>
      <c r="O24" s="30">
        <f t="shared" si="7"/>
        <v>0</v>
      </c>
      <c r="P24" s="30">
        <f t="shared" si="7"/>
        <v>4.9505573014306638E-3</v>
      </c>
      <c r="Q24" s="30">
        <f t="shared" si="7"/>
        <v>7.8286049629925133E-3</v>
      </c>
      <c r="R24" s="30">
        <f t="shared" si="7"/>
        <v>1.4988671176980927E-2</v>
      </c>
      <c r="S24" s="30">
        <f t="shared" si="7"/>
        <v>4.0668549128283485E-3</v>
      </c>
      <c r="T24" s="30">
        <f t="shared" si="7"/>
        <v>1.4565041599965009E-2</v>
      </c>
      <c r="U24" s="30">
        <f t="shared" si="7"/>
        <v>8.2794878393994305E-3</v>
      </c>
      <c r="V24" s="30">
        <f t="shared" si="7"/>
        <v>1.1747957673692468E-2</v>
      </c>
      <c r="W24" s="30">
        <f t="shared" si="7"/>
        <v>9.5141978051348722E-3</v>
      </c>
      <c r="X24" s="30">
        <f t="shared" si="7"/>
        <v>8.2711421056654213E-3</v>
      </c>
      <c r="Y24" s="30">
        <f t="shared" ref="Y24:AD24" si="8">Y6/101.96*3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3*2</f>
        <v>8.3203801345016117E-3</v>
      </c>
      <c r="Z24" s="30">
        <f t="shared" si="8"/>
        <v>1.796712929830489E-2</v>
      </c>
      <c r="AA24" s="30">
        <f t="shared" si="8"/>
        <v>5.6164721405653475E-3</v>
      </c>
      <c r="AB24" s="30">
        <f t="shared" si="8"/>
        <v>0</v>
      </c>
      <c r="AC24" s="30">
        <f t="shared" si="8"/>
        <v>6.1210355329067443E-3</v>
      </c>
      <c r="AD24" s="30">
        <f t="shared" si="8"/>
        <v>2.2431396773114606E-2</v>
      </c>
      <c r="AE24" s="30">
        <f t="shared" ref="AE24" si="9">AE6/101.96*3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3*2</f>
        <v>0</v>
      </c>
    </row>
    <row r="25" spans="1:31" x14ac:dyDescent="0.2">
      <c r="A25" s="28" t="s">
        <v>61</v>
      </c>
      <c r="B25" s="30">
        <f t="shared" ref="B25:X25" si="10">B7/71.85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1</f>
        <v>0</v>
      </c>
      <c r="C25" s="30">
        <f t="shared" si="10"/>
        <v>2.8606485274602841E-3</v>
      </c>
      <c r="D25" s="30">
        <f t="shared" si="10"/>
        <v>4.2826558976991023E-3</v>
      </c>
      <c r="E25" s="30">
        <f t="shared" si="10"/>
        <v>2.8515180224064811E-3</v>
      </c>
      <c r="F25" s="30">
        <f t="shared" si="10"/>
        <v>2.7050430937630023E-2</v>
      </c>
      <c r="G25" s="30">
        <f t="shared" si="10"/>
        <v>4.1145875819357726E-2</v>
      </c>
      <c r="H25" s="30">
        <f t="shared" si="10"/>
        <v>2.7990515822902649E-3</v>
      </c>
      <c r="I25" s="30">
        <f t="shared" si="10"/>
        <v>1.4218771999550562E-3</v>
      </c>
      <c r="J25" s="30">
        <f t="shared" si="10"/>
        <v>0</v>
      </c>
      <c r="K25" s="30">
        <f t="shared" si="10"/>
        <v>0</v>
      </c>
      <c r="L25" s="30">
        <f t="shared" si="10"/>
        <v>9.0663232683196607E-2</v>
      </c>
      <c r="M25" s="30">
        <f t="shared" si="10"/>
        <v>9.0369675283497305E-2</v>
      </c>
      <c r="N25" s="30">
        <f t="shared" si="10"/>
        <v>8.3429040225749623E-2</v>
      </c>
      <c r="O25" s="30">
        <f t="shared" si="10"/>
        <v>9.8528738069331323E-2</v>
      </c>
      <c r="P25" s="30">
        <f t="shared" si="10"/>
        <v>0.21790224828439697</v>
      </c>
      <c r="Q25" s="30">
        <f t="shared" si="10"/>
        <v>0.28514979538457941</v>
      </c>
      <c r="R25" s="30">
        <f t="shared" si="10"/>
        <v>0.36096209933827367</v>
      </c>
      <c r="S25" s="30">
        <f t="shared" si="10"/>
        <v>0.24527351974612499</v>
      </c>
      <c r="T25" s="30">
        <f t="shared" si="10"/>
        <v>0.28587700520324538</v>
      </c>
      <c r="U25" s="30">
        <f t="shared" si="10"/>
        <v>0.29666609112951203</v>
      </c>
      <c r="V25" s="30">
        <f t="shared" si="10"/>
        <v>0.15001967191382645</v>
      </c>
      <c r="W25" s="30">
        <f t="shared" si="10"/>
        <v>0.21638883953653004</v>
      </c>
      <c r="X25" s="30">
        <f t="shared" si="10"/>
        <v>0.24648348825284028</v>
      </c>
      <c r="Y25" s="30">
        <f t="shared" ref="Y25:AD25" si="11">Y7/71.85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1</f>
        <v>0.22901111981352892</v>
      </c>
      <c r="Z25" s="30">
        <f t="shared" si="11"/>
        <v>0.21687665130549635</v>
      </c>
      <c r="AA25" s="30">
        <f t="shared" si="11"/>
        <v>0.20032299410537874</v>
      </c>
      <c r="AB25" s="30">
        <f t="shared" si="11"/>
        <v>3.3161610300778487E-2</v>
      </c>
      <c r="AC25" s="30">
        <f t="shared" si="11"/>
        <v>2.0267712737398292E-2</v>
      </c>
      <c r="AD25" s="30">
        <f t="shared" si="11"/>
        <v>1.8809620924165209E-2</v>
      </c>
      <c r="AE25" s="30">
        <f t="shared" ref="AE25" si="12">AE7/71.85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1</f>
        <v>0</v>
      </c>
    </row>
    <row r="26" spans="1:31" x14ac:dyDescent="0.2">
      <c r="A26" s="28" t="s">
        <v>62</v>
      </c>
      <c r="B26" s="30">
        <f t="shared" ref="B26:X26" si="13">B8/70.94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1</f>
        <v>0</v>
      </c>
      <c r="C26" s="30">
        <f t="shared" si="13"/>
        <v>0</v>
      </c>
      <c r="D26" s="30">
        <f t="shared" si="13"/>
        <v>0</v>
      </c>
      <c r="E26" s="30">
        <f t="shared" si="13"/>
        <v>0</v>
      </c>
      <c r="F26" s="30">
        <f t="shared" si="13"/>
        <v>0</v>
      </c>
      <c r="G26" s="30">
        <f t="shared" si="13"/>
        <v>0</v>
      </c>
      <c r="H26" s="30">
        <f t="shared" si="13"/>
        <v>0</v>
      </c>
      <c r="I26" s="30">
        <f t="shared" si="13"/>
        <v>0</v>
      </c>
      <c r="J26" s="30">
        <f t="shared" si="13"/>
        <v>0</v>
      </c>
      <c r="K26" s="30">
        <f t="shared" si="13"/>
        <v>0</v>
      </c>
      <c r="L26" s="30">
        <f t="shared" si="13"/>
        <v>0</v>
      </c>
      <c r="M26" s="30">
        <f t="shared" si="13"/>
        <v>0</v>
      </c>
      <c r="N26" s="30">
        <f t="shared" si="13"/>
        <v>0</v>
      </c>
      <c r="O26" s="30">
        <f t="shared" si="13"/>
        <v>0</v>
      </c>
      <c r="P26" s="30">
        <f t="shared" si="13"/>
        <v>3.6584117537471025E-2</v>
      </c>
      <c r="Q26" s="30">
        <f t="shared" si="13"/>
        <v>4.2976173463575636E-2</v>
      </c>
      <c r="R26" s="30">
        <f t="shared" si="13"/>
        <v>5.8152812685548914E-2</v>
      </c>
      <c r="S26" s="30">
        <f t="shared" si="13"/>
        <v>3.3609741045163177E-2</v>
      </c>
      <c r="T26" s="30">
        <f t="shared" si="13"/>
        <v>2.9706895752211266E-2</v>
      </c>
      <c r="U26" s="30">
        <f t="shared" si="13"/>
        <v>4.6111985451191391E-2</v>
      </c>
      <c r="V26" s="30">
        <f t="shared" si="13"/>
        <v>3.6716511932895025E-2</v>
      </c>
      <c r="W26" s="30">
        <f t="shared" si="13"/>
        <v>3.8827235516750123E-2</v>
      </c>
      <c r="X26" s="30">
        <f t="shared" si="13"/>
        <v>6.092534468008088E-2</v>
      </c>
      <c r="Y26" s="30">
        <f t="shared" ref="Y26:AD26" si="14">Y8/70.94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1</f>
        <v>4.7077995028080362E-2</v>
      </c>
      <c r="Z26" s="30">
        <f t="shared" si="14"/>
        <v>5.4114856954848273E-2</v>
      </c>
      <c r="AA26" s="30">
        <f t="shared" si="14"/>
        <v>5.5571528918405472E-2</v>
      </c>
      <c r="AB26" s="30">
        <f t="shared" si="14"/>
        <v>1.3759648150868144E-2</v>
      </c>
      <c r="AC26" s="30">
        <f t="shared" si="14"/>
        <v>0</v>
      </c>
      <c r="AD26" s="30">
        <f t="shared" si="14"/>
        <v>0</v>
      </c>
      <c r="AE26" s="30">
        <f t="shared" ref="AE26" si="15">AE8/70.94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1</f>
        <v>0</v>
      </c>
    </row>
    <row r="27" spans="1:31" x14ac:dyDescent="0.2">
      <c r="A27" s="28" t="s">
        <v>13</v>
      </c>
      <c r="B27" s="30">
        <f t="shared" ref="B27:X27" si="16">B9/40.3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1</f>
        <v>2.5395929715227787E-3</v>
      </c>
      <c r="C27" s="30">
        <f t="shared" si="16"/>
        <v>1.2750471259182473E-2</v>
      </c>
      <c r="D27" s="30">
        <f t="shared" si="16"/>
        <v>3.3086970564481781E-2</v>
      </c>
      <c r="E27" s="30">
        <f t="shared" si="16"/>
        <v>0</v>
      </c>
      <c r="F27" s="30">
        <f t="shared" si="16"/>
        <v>0.12437651780144592</v>
      </c>
      <c r="G27" s="30">
        <f t="shared" si="16"/>
        <v>9.3594809251280539E-2</v>
      </c>
      <c r="H27" s="30">
        <f t="shared" si="16"/>
        <v>0.2345473260748166</v>
      </c>
      <c r="I27" s="30">
        <f t="shared" si="16"/>
        <v>0.1673122548363988</v>
      </c>
      <c r="J27" s="30">
        <f t="shared" si="16"/>
        <v>2.5140422853338639E-3</v>
      </c>
      <c r="K27" s="30">
        <f t="shared" si="16"/>
        <v>1.253017048804048E-2</v>
      </c>
      <c r="L27" s="30">
        <f t="shared" si="16"/>
        <v>0.11924374448722509</v>
      </c>
      <c r="M27" s="30">
        <f t="shared" si="16"/>
        <v>0.1406586964045691</v>
      </c>
      <c r="N27" s="30">
        <f t="shared" si="16"/>
        <v>0.13569612994273028</v>
      </c>
      <c r="O27" s="30">
        <f t="shared" si="16"/>
        <v>0.10979047503538238</v>
      </c>
      <c r="P27" s="30">
        <f t="shared" si="16"/>
        <v>3.4642937584328085E-2</v>
      </c>
      <c r="Q27" s="30">
        <f t="shared" si="16"/>
        <v>1.4556973853679982E-2</v>
      </c>
      <c r="R27" s="30">
        <f t="shared" si="16"/>
        <v>1.3000664824926421E-2</v>
      </c>
      <c r="S27" s="30">
        <f t="shared" si="16"/>
        <v>3.6269584549993142E-2</v>
      </c>
      <c r="T27" s="30">
        <f t="shared" si="16"/>
        <v>2.5958161056710987E-2</v>
      </c>
      <c r="U27" s="30">
        <f t="shared" si="16"/>
        <v>2.8802550810039778E-2</v>
      </c>
      <c r="V27" s="30">
        <f t="shared" si="16"/>
        <v>3.4946154957533844E-2</v>
      </c>
      <c r="W27" s="30">
        <f t="shared" si="16"/>
        <v>3.3553733346666184E-2</v>
      </c>
      <c r="X27" s="30">
        <f t="shared" si="16"/>
        <v>2.6157743458239659E-2</v>
      </c>
      <c r="Y27" s="30">
        <f t="shared" ref="Y27:AD27" si="17">Y9/40.3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1</f>
        <v>5.8985111715168188E-2</v>
      </c>
      <c r="Z27" s="30">
        <f t="shared" si="17"/>
        <v>7.0231502171941226E-2</v>
      </c>
      <c r="AA27" s="30">
        <f t="shared" si="17"/>
        <v>5.3156834248294531E-2</v>
      </c>
      <c r="AB27" s="30">
        <f t="shared" si="17"/>
        <v>3.300957845260518E-2</v>
      </c>
      <c r="AC27" s="30">
        <f t="shared" si="17"/>
        <v>0.2322955767748778</v>
      </c>
      <c r="AD27" s="30">
        <f t="shared" si="17"/>
        <v>0.27086177258471728</v>
      </c>
      <c r="AE27" s="30">
        <f t="shared" ref="AE27" si="18">AE9/40.3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1</f>
        <v>0</v>
      </c>
    </row>
    <row r="28" spans="1:31" x14ac:dyDescent="0.2">
      <c r="A28" s="28" t="s">
        <v>15</v>
      </c>
      <c r="B28" s="30">
        <f t="shared" ref="B28:X28" si="19">B10/56.08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1</f>
        <v>9.7929114153567518</v>
      </c>
      <c r="C28" s="30">
        <f t="shared" si="19"/>
        <v>9.8480656620467837</v>
      </c>
      <c r="D28" s="30">
        <f t="shared" si="19"/>
        <v>9.8509256905657345</v>
      </c>
      <c r="E28" s="30">
        <f t="shared" si="19"/>
        <v>9.9719016595771688</v>
      </c>
      <c r="F28" s="30">
        <f t="shared" si="19"/>
        <v>9.8043278051274072</v>
      </c>
      <c r="G28" s="30">
        <f t="shared" si="19"/>
        <v>9.8434092471450381</v>
      </c>
      <c r="H28" s="30">
        <f t="shared" si="19"/>
        <v>9.7310453239110544</v>
      </c>
      <c r="I28" s="30">
        <f t="shared" si="19"/>
        <v>9.8482008928577542</v>
      </c>
      <c r="J28" s="30">
        <f t="shared" si="19"/>
        <v>9.9202145044108487</v>
      </c>
      <c r="K28" s="30">
        <f t="shared" si="19"/>
        <v>9.8940174516767616</v>
      </c>
      <c r="L28" s="30">
        <f t="shared" si="19"/>
        <v>9.5554421962382659</v>
      </c>
      <c r="M28" s="30">
        <f t="shared" si="19"/>
        <v>9.7238600881422546</v>
      </c>
      <c r="N28" s="30">
        <f t="shared" si="19"/>
        <v>9.7307167289843299</v>
      </c>
      <c r="O28" s="30">
        <f t="shared" si="19"/>
        <v>9.5840398998466441</v>
      </c>
      <c r="P28" s="30">
        <f t="shared" si="19"/>
        <v>9.7683004410507657</v>
      </c>
      <c r="Q28" s="30">
        <f t="shared" si="19"/>
        <v>9.7650360272550127</v>
      </c>
      <c r="R28" s="30">
        <f t="shared" si="19"/>
        <v>9.5492017775670117</v>
      </c>
      <c r="S28" s="30">
        <f t="shared" si="19"/>
        <v>9.8728624743084712</v>
      </c>
      <c r="T28" s="30">
        <f t="shared" si="19"/>
        <v>9.8007482382858999</v>
      </c>
      <c r="U28" s="30">
        <f t="shared" si="19"/>
        <v>9.4514509670743756</v>
      </c>
      <c r="V28" s="30">
        <f t="shared" si="19"/>
        <v>9.7808833538914612</v>
      </c>
      <c r="W28" s="30">
        <f t="shared" si="19"/>
        <v>9.7206211132898375</v>
      </c>
      <c r="X28" s="30">
        <f t="shared" si="19"/>
        <v>9.6787708790638032</v>
      </c>
      <c r="Y28" s="30">
        <f t="shared" ref="Y28:AD28" si="20">Y10/56.08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1</f>
        <v>9.6407075492302923</v>
      </c>
      <c r="Z28" s="30">
        <f t="shared" si="20"/>
        <v>9.6666786001683445</v>
      </c>
      <c r="AA28" s="30">
        <f t="shared" si="20"/>
        <v>9.7326815462446916</v>
      </c>
      <c r="AB28" s="30">
        <f t="shared" si="20"/>
        <v>9.7563495780210889</v>
      </c>
      <c r="AC28" s="30">
        <f t="shared" si="20"/>
        <v>9.9862060607553627</v>
      </c>
      <c r="AD28" s="30">
        <f t="shared" si="20"/>
        <v>9.913953029559412</v>
      </c>
      <c r="AE28" s="30">
        <f t="shared" ref="AE28" si="21">AE10/56.08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1</f>
        <v>9.7063990051087874</v>
      </c>
    </row>
    <row r="29" spans="1:31" x14ac:dyDescent="0.2">
      <c r="A29" s="28" t="s">
        <v>63</v>
      </c>
      <c r="B29" s="30">
        <f t="shared" ref="B29:X29" si="22">B11/61.98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2</f>
        <v>0.20475724422868069</v>
      </c>
      <c r="C29" s="30">
        <f t="shared" si="22"/>
        <v>0.19897153600970127</v>
      </c>
      <c r="D29" s="30">
        <f t="shared" si="22"/>
        <v>0.11915153000955682</v>
      </c>
      <c r="E29" s="30">
        <f t="shared" si="22"/>
        <v>3.6361685527734153E-2</v>
      </c>
      <c r="F29" s="30">
        <f t="shared" si="22"/>
        <v>3.9610199477632183E-2</v>
      </c>
      <c r="G29" s="30">
        <f t="shared" si="22"/>
        <v>1.6447637044323827E-2</v>
      </c>
      <c r="H29" s="30">
        <f t="shared" si="22"/>
        <v>6.489572642386433E-3</v>
      </c>
      <c r="I29" s="30">
        <f t="shared" si="22"/>
        <v>1.6483039176632911E-2</v>
      </c>
      <c r="J29" s="30">
        <f t="shared" si="22"/>
        <v>6.2116882151666337E-2</v>
      </c>
      <c r="K29" s="30">
        <f t="shared" si="22"/>
        <v>4.562453816942523E-2</v>
      </c>
      <c r="L29" s="30">
        <f t="shared" si="22"/>
        <v>0</v>
      </c>
      <c r="M29" s="30">
        <f t="shared" si="22"/>
        <v>0</v>
      </c>
      <c r="N29" s="30">
        <f t="shared" si="22"/>
        <v>0</v>
      </c>
      <c r="O29" s="30">
        <f t="shared" si="22"/>
        <v>0</v>
      </c>
      <c r="P29" s="30">
        <f t="shared" si="22"/>
        <v>6.3550652206727605E-3</v>
      </c>
      <c r="Q29" s="30">
        <f t="shared" si="22"/>
        <v>1.5424585013890584E-2</v>
      </c>
      <c r="R29" s="30">
        <f t="shared" si="22"/>
        <v>5.2172218921046155E-2</v>
      </c>
      <c r="S29" s="30">
        <f t="shared" si="22"/>
        <v>6.6901666168437939E-3</v>
      </c>
      <c r="T29" s="30">
        <f t="shared" si="22"/>
        <v>5.5104320514140232E-3</v>
      </c>
      <c r="U29" s="30">
        <f t="shared" si="22"/>
        <v>4.4265470883216987E-2</v>
      </c>
      <c r="V29" s="30">
        <f t="shared" si="22"/>
        <v>4.6401390718396598E-3</v>
      </c>
      <c r="W29" s="30">
        <f t="shared" si="22"/>
        <v>2.6939208222797256E-2</v>
      </c>
      <c r="X29" s="30">
        <f t="shared" si="22"/>
        <v>4.0819247293980947E-2</v>
      </c>
      <c r="Y29" s="30">
        <f t="shared" ref="Y29:AD29" si="23">Y11/61.98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2</f>
        <v>6.5364388213520344E-3</v>
      </c>
      <c r="Z29" s="30">
        <f t="shared" si="23"/>
        <v>5.9113536729756876E-3</v>
      </c>
      <c r="AA29" s="30">
        <f t="shared" si="23"/>
        <v>1.487311523144162E-2</v>
      </c>
      <c r="AB29" s="30">
        <f t="shared" si="23"/>
        <v>6.6431235629968194E-2</v>
      </c>
      <c r="AC29" s="30">
        <f t="shared" si="23"/>
        <v>3.6921096118569904E-2</v>
      </c>
      <c r="AD29" s="30">
        <f t="shared" si="23"/>
        <v>9.392904752211774E-2</v>
      </c>
      <c r="AE29" s="30">
        <f t="shared" ref="AE29" si="24">AE11/61.98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2</f>
        <v>0</v>
      </c>
    </row>
    <row r="30" spans="1:31" x14ac:dyDescent="0.2">
      <c r="A30" s="28" t="s">
        <v>64</v>
      </c>
      <c r="B30" s="30">
        <f t="shared" ref="B30:X30" si="25">B12/94.2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2</f>
        <v>0</v>
      </c>
      <c r="C30" s="30">
        <f t="shared" si="25"/>
        <v>0</v>
      </c>
      <c r="D30" s="30">
        <f t="shared" si="25"/>
        <v>0</v>
      </c>
      <c r="E30" s="30">
        <f t="shared" si="25"/>
        <v>0</v>
      </c>
      <c r="F30" s="30">
        <f t="shared" si="25"/>
        <v>0</v>
      </c>
      <c r="G30" s="30">
        <f t="shared" si="25"/>
        <v>0</v>
      </c>
      <c r="H30" s="30">
        <f t="shared" si="25"/>
        <v>0</v>
      </c>
      <c r="I30" s="30">
        <f t="shared" si="25"/>
        <v>0</v>
      </c>
      <c r="J30" s="30">
        <f t="shared" si="25"/>
        <v>0</v>
      </c>
      <c r="K30" s="30">
        <f t="shared" si="25"/>
        <v>0</v>
      </c>
      <c r="L30" s="30">
        <f t="shared" si="25"/>
        <v>0</v>
      </c>
      <c r="M30" s="30">
        <f t="shared" si="25"/>
        <v>0</v>
      </c>
      <c r="N30" s="30">
        <f t="shared" si="25"/>
        <v>0</v>
      </c>
      <c r="O30" s="30">
        <f t="shared" si="25"/>
        <v>0</v>
      </c>
      <c r="P30" s="30">
        <f t="shared" si="25"/>
        <v>1.9203420954149921E-3</v>
      </c>
      <c r="Q30" s="30">
        <f t="shared" si="25"/>
        <v>0</v>
      </c>
      <c r="R30" s="30">
        <f t="shared" si="25"/>
        <v>0</v>
      </c>
      <c r="S30" s="30">
        <f t="shared" si="25"/>
        <v>0</v>
      </c>
      <c r="T30" s="30">
        <f t="shared" si="25"/>
        <v>9.3998429261087037E-4</v>
      </c>
      <c r="U30" s="30">
        <f t="shared" si="25"/>
        <v>2.2403837051623294E-3</v>
      </c>
      <c r="V30" s="30">
        <f t="shared" si="25"/>
        <v>1.4478306416421101E-3</v>
      </c>
      <c r="W30" s="30">
        <f t="shared" si="25"/>
        <v>1.3418550843819312E-3</v>
      </c>
      <c r="X30" s="30">
        <f t="shared" si="25"/>
        <v>2.2381253956837749E-3</v>
      </c>
      <c r="Y30" s="30">
        <f t="shared" ref="Y30:AD30" si="26">Y12/94.2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2</f>
        <v>8.4544204886767376E-4</v>
      </c>
      <c r="Z30" s="30">
        <f t="shared" si="26"/>
        <v>1.1020093614769221E-3</v>
      </c>
      <c r="AA30" s="30">
        <f t="shared" si="26"/>
        <v>1.1861747179370153E-3</v>
      </c>
      <c r="AB30" s="30">
        <f t="shared" si="26"/>
        <v>0</v>
      </c>
      <c r="AC30" s="30">
        <f t="shared" si="26"/>
        <v>0</v>
      </c>
      <c r="AD30" s="30">
        <f t="shared" si="26"/>
        <v>0</v>
      </c>
      <c r="AE30" s="30">
        <f t="shared" ref="AE30" si="27">AE12/94.2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2</f>
        <v>0</v>
      </c>
    </row>
    <row r="31" spans="1:31" x14ac:dyDescent="0.2">
      <c r="A31" s="28" t="s">
        <v>65</v>
      </c>
      <c r="B31" s="30">
        <f t="shared" ref="B31:X31" si="28">B13/141.94*5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5*2</f>
        <v>5.9991219175687025</v>
      </c>
      <c r="C31" s="30">
        <f t="shared" si="28"/>
        <v>5.968902167037089</v>
      </c>
      <c r="D31" s="30">
        <f t="shared" si="28"/>
        <v>5.9833476148310432</v>
      </c>
      <c r="E31" s="30">
        <f t="shared" si="28"/>
        <v>5.9238689792183523</v>
      </c>
      <c r="F31" s="30">
        <f t="shared" si="28"/>
        <v>5.8865154456336928</v>
      </c>
      <c r="G31" s="30">
        <f t="shared" si="28"/>
        <v>5.9438900424147594</v>
      </c>
      <c r="H31" s="30">
        <f t="shared" si="28"/>
        <v>5.9268063578451793</v>
      </c>
      <c r="I31" s="30">
        <f t="shared" si="28"/>
        <v>5.9106195041519074</v>
      </c>
      <c r="J31" s="30">
        <f t="shared" si="28"/>
        <v>5.9972962254432698</v>
      </c>
      <c r="K31" s="30">
        <f t="shared" si="28"/>
        <v>5.9938459835247215</v>
      </c>
      <c r="L31" s="30">
        <f t="shared" si="28"/>
        <v>5.9421069758101526</v>
      </c>
      <c r="M31" s="30">
        <f t="shared" si="28"/>
        <v>5.9773612754092289</v>
      </c>
      <c r="N31" s="30">
        <f t="shared" si="28"/>
        <v>5.9494923253916872</v>
      </c>
      <c r="O31" s="30">
        <f t="shared" si="28"/>
        <v>5.7948780270242812</v>
      </c>
      <c r="P31" s="30">
        <f t="shared" si="28"/>
        <v>5.8807080611500737</v>
      </c>
      <c r="Q31" s="30">
        <f t="shared" si="28"/>
        <v>5.8348768211691713</v>
      </c>
      <c r="R31" s="30">
        <f t="shared" si="28"/>
        <v>5.8561442538045059</v>
      </c>
      <c r="S31" s="30">
        <f t="shared" si="28"/>
        <v>5.8032632852659223</v>
      </c>
      <c r="T31" s="30">
        <f t="shared" si="28"/>
        <v>5.8438136822732396</v>
      </c>
      <c r="U31" s="30">
        <f t="shared" si="28"/>
        <v>5.7957593159960821</v>
      </c>
      <c r="V31" s="30">
        <f t="shared" si="28"/>
        <v>5.9129746312154428</v>
      </c>
      <c r="W31" s="30">
        <f t="shared" si="28"/>
        <v>5.716622941290483</v>
      </c>
      <c r="X31" s="30">
        <f t="shared" si="28"/>
        <v>5.7854611159992828</v>
      </c>
      <c r="Y31" s="30">
        <f t="shared" ref="Y31:AD31" si="29">Y13/141.94*5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5*2</f>
        <v>5.9430787289027318</v>
      </c>
      <c r="Z31" s="30">
        <f t="shared" si="29"/>
        <v>5.9099218682072943</v>
      </c>
      <c r="AA31" s="30">
        <f t="shared" si="29"/>
        <v>5.8907488941045312</v>
      </c>
      <c r="AB31" s="30">
        <f t="shared" si="29"/>
        <v>5.9870341301149566</v>
      </c>
      <c r="AC31" s="30">
        <f t="shared" si="29"/>
        <v>5.8010213208806762</v>
      </c>
      <c r="AD31" s="30">
        <f t="shared" si="29"/>
        <v>5.7904920868245737</v>
      </c>
      <c r="AE31" s="30">
        <f t="shared" ref="AE31" si="30">AE13/141.94*5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5*2</f>
        <v>5.6697966017340304</v>
      </c>
    </row>
    <row r="32" spans="1:31" x14ac:dyDescent="0.2">
      <c r="A32" s="28" t="s">
        <v>66</v>
      </c>
      <c r="B32" s="30">
        <f t="shared" ref="B32:X32" si="31">B14/152*3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3*2</f>
        <v>0</v>
      </c>
      <c r="C32" s="30">
        <f t="shared" si="31"/>
        <v>0</v>
      </c>
      <c r="D32" s="30">
        <f t="shared" si="31"/>
        <v>0</v>
      </c>
      <c r="E32" s="30">
        <f t="shared" si="31"/>
        <v>0</v>
      </c>
      <c r="F32" s="30">
        <f t="shared" si="31"/>
        <v>0</v>
      </c>
      <c r="G32" s="30">
        <f t="shared" si="31"/>
        <v>0</v>
      </c>
      <c r="H32" s="30">
        <f t="shared" si="31"/>
        <v>0</v>
      </c>
      <c r="I32" s="30">
        <f t="shared" si="31"/>
        <v>0</v>
      </c>
      <c r="J32" s="30">
        <f t="shared" si="31"/>
        <v>0</v>
      </c>
      <c r="K32" s="30">
        <f t="shared" si="31"/>
        <v>0</v>
      </c>
      <c r="L32" s="30">
        <f t="shared" si="31"/>
        <v>0</v>
      </c>
      <c r="M32" s="30">
        <f t="shared" si="31"/>
        <v>0</v>
      </c>
      <c r="N32" s="30">
        <f t="shared" si="31"/>
        <v>0</v>
      </c>
      <c r="O32" s="30">
        <f t="shared" si="31"/>
        <v>0</v>
      </c>
      <c r="P32" s="30">
        <f t="shared" si="31"/>
        <v>0</v>
      </c>
      <c r="Q32" s="30">
        <f t="shared" si="31"/>
        <v>0</v>
      </c>
      <c r="R32" s="30">
        <f t="shared" si="31"/>
        <v>0</v>
      </c>
      <c r="S32" s="30">
        <f t="shared" si="31"/>
        <v>0</v>
      </c>
      <c r="T32" s="30">
        <f t="shared" si="31"/>
        <v>0</v>
      </c>
      <c r="U32" s="30">
        <f t="shared" si="31"/>
        <v>0</v>
      </c>
      <c r="V32" s="30">
        <f t="shared" si="31"/>
        <v>0</v>
      </c>
      <c r="W32" s="30">
        <f t="shared" si="31"/>
        <v>0</v>
      </c>
      <c r="X32" s="30">
        <f t="shared" si="31"/>
        <v>0</v>
      </c>
      <c r="Y32" s="30">
        <f t="shared" ref="Y32:AD32" si="32">Y14/152*3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3*2</f>
        <v>0</v>
      </c>
      <c r="Z32" s="30">
        <f t="shared" si="32"/>
        <v>0</v>
      </c>
      <c r="AA32" s="30">
        <f t="shared" si="32"/>
        <v>0</v>
      </c>
      <c r="AB32" s="30">
        <f t="shared" si="32"/>
        <v>0</v>
      </c>
      <c r="AC32" s="30">
        <f t="shared" si="32"/>
        <v>0</v>
      </c>
      <c r="AD32" s="30">
        <f t="shared" si="32"/>
        <v>0</v>
      </c>
      <c r="AE32" s="30">
        <f t="shared" ref="AE32" si="33">AE14/152*3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3*2</f>
        <v>0</v>
      </c>
    </row>
    <row r="33" spans="1:31" x14ac:dyDescent="0.2">
      <c r="A33" s="28" t="s">
        <v>4</v>
      </c>
      <c r="B33" s="30">
        <f t="shared" ref="B33:X33" si="34">B15/19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</f>
        <v>0</v>
      </c>
      <c r="C33" s="30">
        <f t="shared" si="34"/>
        <v>0</v>
      </c>
      <c r="D33" s="30">
        <f t="shared" si="34"/>
        <v>0</v>
      </c>
      <c r="E33" s="30">
        <f t="shared" si="34"/>
        <v>0</v>
      </c>
      <c r="F33" s="30">
        <f t="shared" si="34"/>
        <v>0</v>
      </c>
      <c r="G33" s="30">
        <f t="shared" si="34"/>
        <v>0</v>
      </c>
      <c r="H33" s="30">
        <f t="shared" si="34"/>
        <v>2.1857683317226426</v>
      </c>
      <c r="I33" s="30">
        <f t="shared" si="34"/>
        <v>0</v>
      </c>
      <c r="J33" s="30">
        <f t="shared" si="34"/>
        <v>2.2876064662342936</v>
      </c>
      <c r="K33" s="30">
        <f t="shared" si="34"/>
        <v>2.3759973072485261</v>
      </c>
      <c r="L33" s="30">
        <f t="shared" si="34"/>
        <v>0</v>
      </c>
      <c r="M33" s="30">
        <f t="shared" si="34"/>
        <v>0</v>
      </c>
      <c r="N33" s="30">
        <f t="shared" si="34"/>
        <v>0</v>
      </c>
      <c r="O33" s="30">
        <f t="shared" si="34"/>
        <v>0</v>
      </c>
      <c r="P33" s="30">
        <f t="shared" si="34"/>
        <v>1.4512699127973205</v>
      </c>
      <c r="Q33" s="30">
        <f t="shared" si="34"/>
        <v>0</v>
      </c>
      <c r="R33" s="30">
        <f t="shared" si="34"/>
        <v>0</v>
      </c>
      <c r="S33" s="30">
        <f t="shared" si="34"/>
        <v>2.1169306900243106</v>
      </c>
      <c r="T33" s="30">
        <f t="shared" si="34"/>
        <v>0</v>
      </c>
      <c r="U33" s="30">
        <f t="shared" si="34"/>
        <v>0</v>
      </c>
      <c r="V33" s="30">
        <f t="shared" si="34"/>
        <v>1.8154583646615767</v>
      </c>
      <c r="W33" s="30">
        <f t="shared" si="34"/>
        <v>0</v>
      </c>
      <c r="X33" s="30">
        <f t="shared" si="34"/>
        <v>0</v>
      </c>
      <c r="Y33" s="30">
        <f t="shared" ref="Y33:AD33" si="35">Y15/19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</f>
        <v>1.615046591696919</v>
      </c>
      <c r="Z33" s="30">
        <f t="shared" si="35"/>
        <v>1.6322375833681699</v>
      </c>
      <c r="AA33" s="30">
        <f t="shared" si="35"/>
        <v>0</v>
      </c>
      <c r="AB33" s="30">
        <f t="shared" si="35"/>
        <v>1.9845241396754285</v>
      </c>
      <c r="AC33" s="30">
        <f t="shared" si="35"/>
        <v>2.0858105113885999</v>
      </c>
      <c r="AD33" s="30">
        <f t="shared" si="35"/>
        <v>2.3855929993641856</v>
      </c>
      <c r="AE33" s="30">
        <f t="shared" ref="AE33" si="36">AE15/19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</f>
        <v>0</v>
      </c>
    </row>
    <row r="34" spans="1:31" x14ac:dyDescent="0.2">
      <c r="A34" s="28" t="s">
        <v>5</v>
      </c>
      <c r="B34" s="30">
        <f t="shared" ref="B34:X34" si="37">B16/35.5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</f>
        <v>8.937221124854669E-2</v>
      </c>
      <c r="C34" s="30">
        <f t="shared" si="37"/>
        <v>0.15632436931962193</v>
      </c>
      <c r="D34" s="30">
        <f t="shared" si="37"/>
        <v>0.13579638341535194</v>
      </c>
      <c r="E34" s="30">
        <f t="shared" si="37"/>
        <v>1.7313935485344139E-2</v>
      </c>
      <c r="F34" s="30">
        <f t="shared" si="37"/>
        <v>2.8815025394643694E-2</v>
      </c>
      <c r="G34" s="30">
        <f t="shared" si="37"/>
        <v>2.0101329036761508E-2</v>
      </c>
      <c r="H34" s="30">
        <f t="shared" si="37"/>
        <v>5.6651227095086071E-3</v>
      </c>
      <c r="I34" s="30">
        <f t="shared" si="37"/>
        <v>5.7555986939025793E-3</v>
      </c>
      <c r="J34" s="30">
        <f t="shared" si="37"/>
        <v>1.9977783906836143E-2</v>
      </c>
      <c r="K34" s="30">
        <f t="shared" si="37"/>
        <v>1.4224390723043134E-2</v>
      </c>
      <c r="L34" s="30">
        <f t="shared" si="37"/>
        <v>0</v>
      </c>
      <c r="M34" s="30">
        <f t="shared" si="37"/>
        <v>0</v>
      </c>
      <c r="N34" s="30">
        <f t="shared" si="37"/>
        <v>0</v>
      </c>
      <c r="O34" s="30">
        <f t="shared" si="37"/>
        <v>0</v>
      </c>
      <c r="P34" s="30">
        <f t="shared" si="37"/>
        <v>1.1506347821141717E-2</v>
      </c>
      <c r="Q34" s="30">
        <f t="shared" si="37"/>
        <v>1.2079854342791022E-2</v>
      </c>
      <c r="R34" s="30">
        <f t="shared" si="37"/>
        <v>1.3753316171494896</v>
      </c>
      <c r="S34" s="30">
        <f t="shared" si="37"/>
        <v>2.9201163867040728E-3</v>
      </c>
      <c r="T34" s="30">
        <f t="shared" si="37"/>
        <v>7.187055596542255E-2</v>
      </c>
      <c r="U34" s="30">
        <f t="shared" si="37"/>
        <v>1.7626644788815611</v>
      </c>
      <c r="V34" s="30">
        <f t="shared" si="37"/>
        <v>5.7627737933529637E-3</v>
      </c>
      <c r="W34" s="30">
        <f t="shared" si="37"/>
        <v>8.3286907911590352E-2</v>
      </c>
      <c r="X34" s="30">
        <f t="shared" si="37"/>
        <v>1.7490098849160478</v>
      </c>
      <c r="Y34" s="30">
        <f t="shared" ref="Y34:AD34" si="38">Y16/35.5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</f>
        <v>7.7543551252481566E-3</v>
      </c>
      <c r="Z34" s="30">
        <f t="shared" si="38"/>
        <v>7.3105128064173287E-3</v>
      </c>
      <c r="AA34" s="30">
        <f t="shared" si="38"/>
        <v>1.195081470000398</v>
      </c>
      <c r="AB34" s="30">
        <f t="shared" si="38"/>
        <v>4.1030894099306492E-2</v>
      </c>
      <c r="AC34" s="30">
        <f t="shared" si="38"/>
        <v>5.8601012482175736E-3</v>
      </c>
      <c r="AD34" s="30">
        <f t="shared" si="38"/>
        <v>1.1713727093402126E-2</v>
      </c>
      <c r="AE34" s="30">
        <f t="shared" ref="AE34" si="39">AE16/35.5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</f>
        <v>0.36350676410099014</v>
      </c>
    </row>
    <row r="35" spans="1:31" s="51" customFormat="1" x14ac:dyDescent="0.2">
      <c r="A35" s="32" t="s">
        <v>6</v>
      </c>
      <c r="B35" s="32">
        <f>2-B33-B34</f>
        <v>1.9106277887514533</v>
      </c>
      <c r="C35" s="32">
        <f t="shared" ref="C35:AE35" si="40">2-C33-C34</f>
        <v>1.8436756306803781</v>
      </c>
      <c r="D35" s="32">
        <f t="shared" si="40"/>
        <v>1.8642036165846481</v>
      </c>
      <c r="E35" s="32">
        <f t="shared" si="40"/>
        <v>1.9826860645146558</v>
      </c>
      <c r="F35" s="32">
        <f t="shared" si="40"/>
        <v>1.9711849746053562</v>
      </c>
      <c r="G35" s="32">
        <f t="shared" si="40"/>
        <v>1.9798986709632385</v>
      </c>
      <c r="H35" s="32">
        <f t="shared" si="40"/>
        <v>-0.19143345443215123</v>
      </c>
      <c r="I35" s="32">
        <f t="shared" si="40"/>
        <v>1.9942444013060974</v>
      </c>
      <c r="J35" s="32">
        <f t="shared" si="40"/>
        <v>-0.30758425014112978</v>
      </c>
      <c r="K35" s="32">
        <f t="shared" si="40"/>
        <v>-0.39022169797156925</v>
      </c>
      <c r="L35" s="32">
        <f t="shared" si="40"/>
        <v>2</v>
      </c>
      <c r="M35" s="32">
        <f t="shared" si="40"/>
        <v>2</v>
      </c>
      <c r="N35" s="32">
        <f t="shared" si="40"/>
        <v>2</v>
      </c>
      <c r="O35" s="32">
        <f t="shared" si="40"/>
        <v>2</v>
      </c>
      <c r="P35" s="32">
        <f t="shared" si="40"/>
        <v>0.53722373938153778</v>
      </c>
      <c r="Q35" s="32">
        <f t="shared" si="40"/>
        <v>1.9879201456572089</v>
      </c>
      <c r="R35" s="32">
        <f t="shared" si="40"/>
        <v>0.62466838285051041</v>
      </c>
      <c r="S35" s="32">
        <f t="shared" si="40"/>
        <v>-0.11985080641101463</v>
      </c>
      <c r="T35" s="32">
        <f t="shared" si="40"/>
        <v>1.9281294440345775</v>
      </c>
      <c r="U35" s="32">
        <f t="shared" si="40"/>
        <v>0.23733552111843892</v>
      </c>
      <c r="V35" s="32">
        <f t="shared" si="40"/>
        <v>0.17877886154507031</v>
      </c>
      <c r="W35" s="32">
        <f t="shared" si="40"/>
        <v>1.9167130920884097</v>
      </c>
      <c r="X35" s="32">
        <f t="shared" si="40"/>
        <v>0.25099011508395219</v>
      </c>
      <c r="Y35" s="32">
        <f t="shared" si="40"/>
        <v>0.37719905317783287</v>
      </c>
      <c r="Z35" s="32">
        <f t="shared" si="40"/>
        <v>0.36045190382541276</v>
      </c>
      <c r="AA35" s="32">
        <f t="shared" si="40"/>
        <v>0.80491852999960201</v>
      </c>
      <c r="AB35" s="32">
        <f t="shared" si="40"/>
        <v>-2.5555033774735003E-2</v>
      </c>
      <c r="AC35" s="32">
        <f t="shared" si="40"/>
        <v>-9.1670612636817431E-2</v>
      </c>
      <c r="AD35" s="32">
        <f t="shared" si="40"/>
        <v>-0.39730672645758769</v>
      </c>
      <c r="AE35" s="32">
        <f t="shared" si="40"/>
        <v>1.6364932358990099</v>
      </c>
    </row>
    <row r="37" spans="1:31" x14ac:dyDescent="0.2">
      <c r="A37" s="46" t="s">
        <v>75</v>
      </c>
    </row>
    <row r="38" spans="1:31" x14ac:dyDescent="0.2">
      <c r="A38" s="40" t="s">
        <v>13</v>
      </c>
      <c r="B38" s="42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-0.9556*0.0000000001)^2)-(1/3*((0.817581105867826+0.0645260838443783*B31)*0.0000000001-0.9556*0.0000000001)^3))))</f>
        <v>6.6823080916559877E-2</v>
      </c>
      <c r="C38" s="42">
        <f t="shared" ref="C38:AE38" si="41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-0.9556*0.0000000001)^2)-(1/3*((0.817581105867826+0.0645260838443783*C31)*0.0000000001-0.9556*0.0000000001)^3))))</f>
        <v>8.9933392673370194E-2</v>
      </c>
      <c r="D38" s="42">
        <f t="shared" si="41"/>
        <v>8.4762289824162285E-2</v>
      </c>
      <c r="E38" s="42">
        <f t="shared" si="41"/>
        <v>0.15020961865109508</v>
      </c>
      <c r="F38" s="42">
        <f t="shared" si="41"/>
        <v>0.11319106225808549</v>
      </c>
      <c r="G38" s="42">
        <f t="shared" si="41"/>
        <v>9.9470446190061776E-2</v>
      </c>
      <c r="H38" s="42">
        <f t="shared" si="41"/>
        <v>7.9835067222797651E-2</v>
      </c>
      <c r="I38" s="42">
        <f t="shared" si="41"/>
        <v>0.11639664680308998</v>
      </c>
      <c r="J38" s="42">
        <f t="shared" si="41"/>
        <v>9.5183209123369542E-2</v>
      </c>
      <c r="K38" s="42">
        <f t="shared" si="41"/>
        <v>8.9581208867976658E-2</v>
      </c>
      <c r="L38" s="42">
        <f t="shared" si="41"/>
        <v>5.0132497509970085E-2</v>
      </c>
      <c r="M38" s="42">
        <f t="shared" si="41"/>
        <v>7.191858501993878E-2</v>
      </c>
      <c r="N38" s="42">
        <f t="shared" si="41"/>
        <v>8.3799138497023695E-2</v>
      </c>
      <c r="O38" s="42">
        <f t="shared" si="41"/>
        <v>0.10908230718705848</v>
      </c>
      <c r="P38" s="42">
        <f t="shared" si="41"/>
        <v>0.14268104932204481</v>
      </c>
      <c r="Q38" s="42">
        <f t="shared" si="41"/>
        <v>0.17898576688226078</v>
      </c>
      <c r="R38" s="42">
        <f t="shared" si="41"/>
        <v>8.9464719629977124E-2</v>
      </c>
      <c r="S38" s="42">
        <f t="shared" si="41"/>
        <v>0.24981150733595545</v>
      </c>
      <c r="T38" s="42">
        <f t="shared" si="41"/>
        <v>0.17484975741862124</v>
      </c>
      <c r="U38" s="42">
        <f t="shared" si="41"/>
        <v>7.7704664365594825E-2</v>
      </c>
      <c r="V38" s="42">
        <f t="shared" si="41"/>
        <v>0.11587654311285663</v>
      </c>
      <c r="W38" s="42">
        <f t="shared" si="41"/>
        <v>0.22286371149958956</v>
      </c>
      <c r="X38" s="42">
        <f t="shared" si="41"/>
        <v>0.1546503317741853</v>
      </c>
      <c r="Y38" s="42">
        <f t="shared" si="41"/>
        <v>6.9167349891768509E-2</v>
      </c>
      <c r="Z38" s="42">
        <f t="shared" si="41"/>
        <v>8.8264026367514098E-2</v>
      </c>
      <c r="AA38" s="42">
        <f t="shared" si="41"/>
        <v>0.11482933245571969</v>
      </c>
      <c r="AB38" s="42">
        <f t="shared" si="41"/>
        <v>7.7785077829929203E-2</v>
      </c>
      <c r="AC38" s="42">
        <f t="shared" si="41"/>
        <v>0.31022228154865095</v>
      </c>
      <c r="AD38" s="42">
        <f t="shared" si="41"/>
        <v>0.29308932591473297</v>
      </c>
      <c r="AE38" s="42">
        <f t="shared" si="41"/>
        <v>0.46291155670954248</v>
      </c>
    </row>
    <row r="39" spans="1:31" x14ac:dyDescent="0.2">
      <c r="A39" s="40" t="s">
        <v>14</v>
      </c>
      <c r="B39" s="42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-0.9584*0.0000000001)^2)-(1/3*((0.817581105867826+0.0645260838443783*B31)*0.0000000001-0.9584*0.0000000001)^3))))</f>
        <v>7.3149367964774711E-2</v>
      </c>
      <c r="C39" s="42">
        <f t="shared" ref="C39:AE39" si="42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-0.9584*0.0000000001)^2)-(1/3*((0.817581105867826+0.0645260838443783*C31)*0.0000000001-0.9584*0.0000000001)^3))))</f>
        <v>9.7882781604643476E-2</v>
      </c>
      <c r="D39" s="42">
        <f t="shared" si="42"/>
        <v>9.243041979873734E-2</v>
      </c>
      <c r="E39" s="42">
        <f t="shared" si="42"/>
        <v>0.16252842906739079</v>
      </c>
      <c r="F39" s="42">
        <f t="shared" si="42"/>
        <v>0.12213058308020508</v>
      </c>
      <c r="G39" s="42">
        <f t="shared" si="42"/>
        <v>0.10790111840697121</v>
      </c>
      <c r="H39" s="42">
        <f t="shared" si="42"/>
        <v>8.651255675623E-2</v>
      </c>
      <c r="I39" s="42">
        <f t="shared" si="42"/>
        <v>0.12568318909800655</v>
      </c>
      <c r="J39" s="42">
        <f t="shared" si="42"/>
        <v>0.10392330741149609</v>
      </c>
      <c r="K39" s="42">
        <f t="shared" si="42"/>
        <v>9.7872186795359556E-2</v>
      </c>
      <c r="L39" s="42">
        <f t="shared" si="42"/>
        <v>5.5494345257112672E-2</v>
      </c>
      <c r="M39" s="42">
        <f t="shared" si="42"/>
        <v>7.922722764257599E-2</v>
      </c>
      <c r="N39" s="42">
        <f t="shared" si="42"/>
        <v>9.2057106153803331E-2</v>
      </c>
      <c r="O39" s="42">
        <f t="shared" si="42"/>
        <v>0.11872398463011516</v>
      </c>
      <c r="P39" s="42">
        <f t="shared" si="42"/>
        <v>0.15497141334363673</v>
      </c>
      <c r="Q39" s="42">
        <f t="shared" si="42"/>
        <v>0.19289861957866897</v>
      </c>
      <c r="R39" s="42">
        <f t="shared" si="42"/>
        <v>9.710109313339739E-2</v>
      </c>
      <c r="S39" s="42">
        <f t="shared" si="42"/>
        <v>0.26684896192900587</v>
      </c>
      <c r="T39" s="42">
        <f t="shared" si="42"/>
        <v>0.18782863067502387</v>
      </c>
      <c r="U39" s="42">
        <f t="shared" si="42"/>
        <v>8.4186055009923461E-2</v>
      </c>
      <c r="V39" s="42">
        <f t="shared" si="42"/>
        <v>0.1261365458005945</v>
      </c>
      <c r="W39" s="42">
        <f t="shared" si="42"/>
        <v>0.23752313590671748</v>
      </c>
      <c r="X39" s="42">
        <f t="shared" si="42"/>
        <v>0.16599010986119611</v>
      </c>
      <c r="Y39" s="42">
        <f t="shared" si="42"/>
        <v>7.5668046066153835E-2</v>
      </c>
      <c r="Z39" s="42">
        <f t="shared" si="42"/>
        <v>9.6017588620876879E-2</v>
      </c>
      <c r="AA39" s="42">
        <f t="shared" si="42"/>
        <v>0.12455019866519244</v>
      </c>
      <c r="AB39" s="42">
        <f t="shared" si="42"/>
        <v>8.7056547351509583E-2</v>
      </c>
      <c r="AC39" s="42">
        <f t="shared" si="42"/>
        <v>0.32977071234193944</v>
      </c>
      <c r="AD39" s="42">
        <f t="shared" si="42"/>
        <v>0.31148818616101526</v>
      </c>
      <c r="AE39" s="42">
        <f t="shared" si="42"/>
        <v>0.50931861163258174</v>
      </c>
    </row>
    <row r="40" spans="1:31" x14ac:dyDescent="0.2">
      <c r="A40" s="40" t="s">
        <v>15</v>
      </c>
      <c r="B40" s="43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-1.18*0.0000000001)^2)-(1/3*((0.817581105867826+0.0645260838443783*B31)*0.0000000001-1.18*0.0000000001)^3))))</f>
        <v>5.1353698637471821</v>
      </c>
      <c r="C40" s="43">
        <f t="shared" ref="C40:AE40" si="43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-1.18*0.0000000001)^2)-(1/3*((0.817581105867826+0.0645260838443783*C31)*0.0000000001-1.18*0.0000000001)^3))))</f>
        <v>5.0995766048122739</v>
      </c>
      <c r="D40" s="43">
        <f t="shared" si="43"/>
        <v>5.3354419349625166</v>
      </c>
      <c r="E40" s="43">
        <f t="shared" si="43"/>
        <v>6.186828086288612</v>
      </c>
      <c r="F40" s="43">
        <f t="shared" si="43"/>
        <v>3.9544176930375943</v>
      </c>
      <c r="G40" s="43">
        <f t="shared" si="43"/>
        <v>4.701828576066589</v>
      </c>
      <c r="H40" s="43">
        <f t="shared" si="43"/>
        <v>3.5396253115730936</v>
      </c>
      <c r="I40" s="43">
        <f t="shared" si="43"/>
        <v>4.3005253499377547</v>
      </c>
      <c r="J40" s="43">
        <f t="shared" si="43"/>
        <v>6.4438129491795024</v>
      </c>
      <c r="K40" s="43">
        <f t="shared" si="43"/>
        <v>6.2412016807511401</v>
      </c>
      <c r="L40" s="43">
        <f t="shared" si="43"/>
        <v>6.1770360586932744</v>
      </c>
      <c r="M40" s="43">
        <f t="shared" si="43"/>
        <v>7.3202171701604701</v>
      </c>
      <c r="N40" s="43">
        <f t="shared" si="43"/>
        <v>7.2502850706618602</v>
      </c>
      <c r="O40" s="43">
        <f t="shared" si="43"/>
        <v>5.2212234369905861</v>
      </c>
      <c r="P40" s="43">
        <f t="shared" si="43"/>
        <v>6.7538952861877295</v>
      </c>
      <c r="Q40" s="43">
        <f t="shared" si="43"/>
        <v>5.6641981756234294</v>
      </c>
      <c r="R40" s="43">
        <f t="shared" si="43"/>
        <v>4.0005832622994628</v>
      </c>
      <c r="S40" s="43">
        <f t="shared" si="43"/>
        <v>5.1185987192325246</v>
      </c>
      <c r="T40" s="43">
        <f t="shared" si="43"/>
        <v>4.7973589429243244</v>
      </c>
      <c r="U40" s="43">
        <f t="shared" si="43"/>
        <v>3.0192345876640942</v>
      </c>
      <c r="V40" s="43">
        <f t="shared" si="43"/>
        <v>6.2740003696890856</v>
      </c>
      <c r="W40" s="43">
        <f t="shared" si="43"/>
        <v>3.8459076871324567</v>
      </c>
      <c r="X40" s="43">
        <f t="shared" si="43"/>
        <v>3.885355922789588</v>
      </c>
      <c r="Y40" s="43">
        <f t="shared" si="43"/>
        <v>4.881060022224462</v>
      </c>
      <c r="Z40" s="43">
        <f t="shared" si="43"/>
        <v>4.6235472777552378</v>
      </c>
      <c r="AA40" s="43">
        <f t="shared" si="43"/>
        <v>5.1473715990409259</v>
      </c>
      <c r="AB40" s="43">
        <f t="shared" si="43"/>
        <v>17.059076885641002</v>
      </c>
      <c r="AC40" s="43">
        <f t="shared" si="43"/>
        <v>5.0784920340270716</v>
      </c>
      <c r="AD40" s="43">
        <f t="shared" si="43"/>
        <v>4.7124940953499923</v>
      </c>
      <c r="AE40" s="43">
        <f t="shared" si="43"/>
        <v>31.319132754338021</v>
      </c>
    </row>
    <row r="41" spans="1:31" ht="18" x14ac:dyDescent="0.2">
      <c r="A41" s="40" t="s">
        <v>78</v>
      </c>
      <c r="B41" s="43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-1.3*0.0000000001)^2)-(1/3*((0.817581105867826+0.0645260838443783*B31)*0.0000000001-1.3*0.0000000001)^3))))</f>
        <v>2.4602075242040864</v>
      </c>
      <c r="C41" s="43">
        <f t="shared" ref="C41:AE41" si="44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-1.3*0.0000000001)^2)-(1/3*((0.817581105867826+0.0645260838443783*C31)*0.0000000001-1.3*0.0000000001)^3))))</f>
        <v>2.4528925349054651</v>
      </c>
      <c r="D41" s="43">
        <f t="shared" si="44"/>
        <v>2.5780442635127585</v>
      </c>
      <c r="E41" s="43">
        <f t="shared" si="44"/>
        <v>2.9470775621668963</v>
      </c>
      <c r="F41" s="43">
        <f t="shared" si="44"/>
        <v>1.8407102752266045</v>
      </c>
      <c r="G41" s="43">
        <f t="shared" si="44"/>
        <v>2.2489525205320788</v>
      </c>
      <c r="H41" s="43">
        <f t="shared" si="44"/>
        <v>1.6691514550170656</v>
      </c>
      <c r="I41" s="43">
        <f t="shared" si="44"/>
        <v>2.05218094186072</v>
      </c>
      <c r="J41" s="43">
        <f t="shared" si="44"/>
        <v>3.1447941863509214</v>
      </c>
      <c r="K41" s="43">
        <f t="shared" si="44"/>
        <v>3.0140285945149952</v>
      </c>
      <c r="L41" s="43">
        <f t="shared" si="44"/>
        <v>2.4513160781702155</v>
      </c>
      <c r="M41" s="43">
        <f t="shared" si="44"/>
        <v>3.2158779443927936</v>
      </c>
      <c r="N41" s="43">
        <f t="shared" si="44"/>
        <v>3.120593616278831</v>
      </c>
      <c r="O41" s="43">
        <f t="shared" si="44"/>
        <v>1.9359517366651622</v>
      </c>
      <c r="P41" s="43">
        <f t="shared" si="44"/>
        <v>2.9166272790432379</v>
      </c>
      <c r="Q41" s="43">
        <f t="shared" si="44"/>
        <v>2.4895377600139272</v>
      </c>
      <c r="R41" s="43">
        <f t="shared" si="44"/>
        <v>1.6791810471945681</v>
      </c>
      <c r="S41" s="43">
        <f t="shared" si="44"/>
        <v>2.3875556214173494</v>
      </c>
      <c r="T41" s="43">
        <f t="shared" si="44"/>
        <v>2.2106889727127883</v>
      </c>
      <c r="U41" s="43">
        <f t="shared" si="44"/>
        <v>1.1827942073798585</v>
      </c>
      <c r="V41" s="43">
        <f t="shared" si="44"/>
        <v>2.7792551659584452</v>
      </c>
      <c r="W41" s="43">
        <f t="shared" si="44"/>
        <v>1.6595095958773973</v>
      </c>
      <c r="X41" s="43">
        <f t="shared" si="44"/>
        <v>1.6752703718219384</v>
      </c>
      <c r="Y41" s="43">
        <f t="shared" si="44"/>
        <v>2.1593950898145491</v>
      </c>
      <c r="Z41" s="43">
        <f t="shared" si="44"/>
        <v>2.0515939010898645</v>
      </c>
      <c r="AA41" s="43">
        <f t="shared" si="44"/>
        <v>2.286579941650682</v>
      </c>
      <c r="AB41" s="43">
        <f t="shared" si="44"/>
        <v>6.6718482920758895</v>
      </c>
      <c r="AC41" s="43">
        <f t="shared" si="44"/>
        <v>2.4996311482759936</v>
      </c>
      <c r="AD41" s="43">
        <f t="shared" si="44"/>
        <v>2.2981279780485515</v>
      </c>
      <c r="AE41" s="43">
        <f t="shared" si="44"/>
        <v>8.1346773124820384</v>
      </c>
    </row>
    <row r="42" spans="1:31" x14ac:dyDescent="0.2">
      <c r="A42" s="40" t="s">
        <v>16</v>
      </c>
      <c r="B42" s="43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-1.31*0.0000000001)^2)-(1/3*((0.817581105867826+0.0645260838443783*B31)*0.0000000001-1.31*0.0000000001)^3))))</f>
        <v>2.0581460241047402</v>
      </c>
      <c r="C42" s="43">
        <f t="shared" ref="C42:AE42" si="45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-1.31*0.0000000001)^2)-(1/3*((0.817581105867826+0.0645260838443783*C31)*0.0000000001-1.31*0.0000000001)^3))))</f>
        <v>2.0659261613249762</v>
      </c>
      <c r="D42" s="43">
        <f t="shared" si="45"/>
        <v>2.1678577640025054</v>
      </c>
      <c r="E42" s="43">
        <f t="shared" si="45"/>
        <v>2.4956225618847929</v>
      </c>
      <c r="F42" s="43">
        <f t="shared" si="45"/>
        <v>1.5596778293675211</v>
      </c>
      <c r="G42" s="43">
        <f t="shared" si="45"/>
        <v>1.8999911740379132</v>
      </c>
      <c r="H42" s="43">
        <f t="shared" si="45"/>
        <v>1.4095927464938016</v>
      </c>
      <c r="I42" s="43">
        <f t="shared" si="45"/>
        <v>1.7420821721697861</v>
      </c>
      <c r="J42" s="43">
        <f t="shared" si="45"/>
        <v>2.6436531537634402</v>
      </c>
      <c r="K42" s="43">
        <f t="shared" si="45"/>
        <v>2.529007881464568</v>
      </c>
      <c r="L42" s="43">
        <f t="shared" si="45"/>
        <v>1.9851460347152405</v>
      </c>
      <c r="M42" s="43">
        <f t="shared" si="45"/>
        <v>2.6469192532038228</v>
      </c>
      <c r="N42" s="43">
        <f t="shared" si="45"/>
        <v>2.570736221705757</v>
      </c>
      <c r="O42" s="43">
        <f t="shared" si="45"/>
        <v>1.5855667057196863</v>
      </c>
      <c r="P42" s="43">
        <f t="shared" si="45"/>
        <v>2.4337375051338337</v>
      </c>
      <c r="Q42" s="43">
        <f t="shared" si="45"/>
        <v>2.0991355594687011</v>
      </c>
      <c r="R42" s="43">
        <f t="shared" si="45"/>
        <v>1.3979976495179085</v>
      </c>
      <c r="S42" s="43">
        <f t="shared" si="45"/>
        <v>2.0459136443471428</v>
      </c>
      <c r="T42" s="43">
        <f t="shared" si="45"/>
        <v>1.8802275952777503</v>
      </c>
      <c r="U42" s="43">
        <f t="shared" si="45"/>
        <v>0.97938544912345893</v>
      </c>
      <c r="V42" s="43">
        <f t="shared" si="45"/>
        <v>2.3198248002307991</v>
      </c>
      <c r="W42" s="43">
        <f t="shared" si="45"/>
        <v>1.4137151925590696</v>
      </c>
      <c r="X42" s="43">
        <f t="shared" si="45"/>
        <v>1.4160086997204551</v>
      </c>
      <c r="Y42" s="43">
        <f t="shared" si="45"/>
        <v>1.7923350117733869</v>
      </c>
      <c r="Z42" s="43">
        <f t="shared" si="45"/>
        <v>1.713967421641629</v>
      </c>
      <c r="AA42" s="43">
        <f t="shared" si="45"/>
        <v>1.9166838805137072</v>
      </c>
      <c r="AB42" s="43">
        <f t="shared" si="45"/>
        <v>5.3298376651145496</v>
      </c>
      <c r="AC42" s="43">
        <f t="shared" si="45"/>
        <v>2.1659075765163065</v>
      </c>
      <c r="AD42" s="43">
        <f t="shared" si="45"/>
        <v>1.9898185571849265</v>
      </c>
      <c r="AE42" s="43">
        <f t="shared" si="45"/>
        <v>6.3364329155578565</v>
      </c>
    </row>
    <row r="43" spans="1:31" x14ac:dyDescent="0.2">
      <c r="A43" s="39"/>
      <c r="B43" s="43"/>
    </row>
    <row r="44" spans="1:31" x14ac:dyDescent="0.2">
      <c r="A44" s="41" t="s">
        <v>17</v>
      </c>
      <c r="B44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-1.216*0.0000000001)^2)-(1/3*((1.13420686227572+0.136783049036052*B29)*0.0000000001-1.216*0.0000000001)^3))))</f>
        <v>7.0244466782419472</v>
      </c>
      <c r="C44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-1.216*0.0000000001)^2)-(1/3*((1.13420686227572+0.136783049036052*C29)*0.0000000001-1.216*0.0000000001)^3))))</f>
        <v>6.6038082068998945</v>
      </c>
      <c r="D44" s="43">
        <f t="shared" ref="D44:AE44" si="46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-1.216*0.0000000001)^2)-(1/3*((1.13420686227572+0.136783049036052*D29)*0.0000000001-1.216*0.0000000001)^3))))</f>
        <v>6.388764368286397</v>
      </c>
      <c r="E44" s="43">
        <f t="shared" si="46"/>
        <v>9.8400921189734945</v>
      </c>
      <c r="F44" s="43">
        <f t="shared" si="46"/>
        <v>2.8796050741361601</v>
      </c>
      <c r="G44" s="43">
        <f t="shared" si="46"/>
        <v>3.7110203152826142</v>
      </c>
      <c r="H44" s="43">
        <f t="shared" si="46"/>
        <v>1.621390207204811</v>
      </c>
      <c r="I44" s="43">
        <f t="shared" si="46"/>
        <v>2.9961241033124311</v>
      </c>
      <c r="J44" s="43">
        <f t="shared" si="46"/>
        <v>9.7149133974816557</v>
      </c>
      <c r="K44" s="43">
        <f t="shared" si="46"/>
        <v>8.9837966577007329</v>
      </c>
      <c r="L44" s="43">
        <f t="shared" si="46"/>
        <v>2.9939477043007421</v>
      </c>
      <c r="M44" s="43">
        <f t="shared" si="46"/>
        <v>3.038096057116797</v>
      </c>
      <c r="N44" s="43">
        <f t="shared" si="46"/>
        <v>3.346938747602568</v>
      </c>
      <c r="O44" s="43">
        <f t="shared" si="46"/>
        <v>3.2097189023467934</v>
      </c>
      <c r="P44" s="43">
        <f t="shared" si="46"/>
        <v>2.0884402647896794</v>
      </c>
      <c r="Q44" s="43">
        <f t="shared" si="46"/>
        <v>1.3198339255746843</v>
      </c>
      <c r="R44" s="43">
        <f t="shared" si="46"/>
        <v>0.52900330215094771</v>
      </c>
      <c r="S44" s="43">
        <f t="shared" si="46"/>
        <v>1.5584496718684258</v>
      </c>
      <c r="T44" s="43">
        <f t="shared" si="46"/>
        <v>1.125117398525898</v>
      </c>
      <c r="U44" s="43">
        <f t="shared" si="46"/>
        <v>0.63317399600561641</v>
      </c>
      <c r="V44" s="43">
        <f t="shared" si="46"/>
        <v>2.5538505161471279</v>
      </c>
      <c r="W44" s="43">
        <f t="shared" si="46"/>
        <v>1.2986790734005231</v>
      </c>
      <c r="X44" s="43">
        <f t="shared" si="46"/>
        <v>1.0119781852191099</v>
      </c>
      <c r="Y44" s="43">
        <f t="shared" si="46"/>
        <v>1.095928404035124</v>
      </c>
      <c r="Z44" s="43">
        <f t="shared" si="46"/>
        <v>0.96556311200907907</v>
      </c>
      <c r="AA44" s="43">
        <f t="shared" si="46"/>
        <v>1.4505074115695145</v>
      </c>
      <c r="AB44" s="43">
        <f t="shared" si="46"/>
        <v>15.092729042598394</v>
      </c>
      <c r="AC44" s="43">
        <f t="shared" si="46"/>
        <v>2.3240675588948361</v>
      </c>
      <c r="AD44" s="43">
        <f t="shared" si="46"/>
        <v>1.4181431897358328</v>
      </c>
      <c r="AE44" s="43">
        <f t="shared" si="46"/>
        <v>66.848873822571292</v>
      </c>
    </row>
    <row r="45" spans="1:31" x14ac:dyDescent="0.2">
      <c r="A45" s="41" t="s">
        <v>18</v>
      </c>
      <c r="B45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-1.196*0.0000000001)^2)-(1/3*((1.13420686227572+0.136783049036052*B29)*0.0000000001-1.196*0.0000000001)^3))))</f>
        <v>8.6500478304007959</v>
      </c>
      <c r="C45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-1.196*0.0000000001)^2)-(1/3*((1.13420686227572+0.136783049036052*C29)*0.0000000001-1.196*0.0000000001)^3))))</f>
        <v>8.0967836125581449</v>
      </c>
      <c r="D45" s="43">
        <f t="shared" ref="D45:AE45" si="47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-1.196*0.0000000001)^2)-(1/3*((1.13420686227572+0.136783049036052*D29)*0.0000000001-1.196*0.0000000001)^3))))</f>
        <v>8.2736461206267791</v>
      </c>
      <c r="E45" s="43">
        <f t="shared" si="47"/>
        <v>13.115743442082973</v>
      </c>
      <c r="F45" s="43">
        <f t="shared" si="47"/>
        <v>3.7741363558927539</v>
      </c>
      <c r="G45" s="43">
        <f t="shared" si="47"/>
        <v>5.0467395210624897</v>
      </c>
      <c r="H45" s="43">
        <f t="shared" si="47"/>
        <v>2.2021837450744282</v>
      </c>
      <c r="I45" s="43">
        <f t="shared" si="47"/>
        <v>4.018109889437989</v>
      </c>
      <c r="J45" s="43">
        <f t="shared" si="47"/>
        <v>13.116036530896581</v>
      </c>
      <c r="K45" s="43">
        <f t="shared" si="47"/>
        <v>12.242683142058826</v>
      </c>
      <c r="L45" s="43">
        <f t="shared" si="47"/>
        <v>4.275820384743021</v>
      </c>
      <c r="M45" s="43">
        <f t="shared" si="47"/>
        <v>4.4138963615328359</v>
      </c>
      <c r="N45" s="43">
        <f t="shared" si="47"/>
        <v>4.7971436800020522</v>
      </c>
      <c r="O45" s="43">
        <f t="shared" si="47"/>
        <v>4.2672572833310287</v>
      </c>
      <c r="P45" s="43">
        <f t="shared" si="47"/>
        <v>2.9046271699043831</v>
      </c>
      <c r="Q45" s="43">
        <f t="shared" si="47"/>
        <v>1.7851504574867363</v>
      </c>
      <c r="R45" s="43">
        <f t="shared" si="47"/>
        <v>0.70679582584132139</v>
      </c>
      <c r="S45" s="43">
        <f t="shared" si="47"/>
        <v>2.0641588044377608</v>
      </c>
      <c r="T45" s="43">
        <f t="shared" si="47"/>
        <v>1.5201152083388059</v>
      </c>
      <c r="U45" s="43">
        <f t="shared" si="47"/>
        <v>0.81902362752895241</v>
      </c>
      <c r="V45" s="43">
        <f t="shared" si="47"/>
        <v>3.5674611930873334</v>
      </c>
      <c r="W45" s="43">
        <f t="shared" si="47"/>
        <v>1.635605568327001</v>
      </c>
      <c r="X45" s="43">
        <f t="shared" si="47"/>
        <v>1.3054765160100943</v>
      </c>
      <c r="Y45" s="43">
        <f t="shared" si="47"/>
        <v>1.5509726911348942</v>
      </c>
      <c r="Z45" s="43">
        <f t="shared" si="47"/>
        <v>1.3457416605280592</v>
      </c>
      <c r="AA45" s="43">
        <f t="shared" si="47"/>
        <v>1.9922093122032409</v>
      </c>
      <c r="AB45" s="43">
        <f t="shared" si="47"/>
        <v>21.751961629636707</v>
      </c>
      <c r="AC45" s="43">
        <f t="shared" si="47"/>
        <v>2.9972628952743929</v>
      </c>
      <c r="AD45" s="43">
        <f t="shared" si="47"/>
        <v>1.7796306337421515</v>
      </c>
      <c r="AE45" s="43">
        <f t="shared" si="47"/>
        <v>88.662072362888168</v>
      </c>
    </row>
    <row r="46" spans="1:31" x14ac:dyDescent="0.2">
      <c r="A46" s="41" t="s">
        <v>19</v>
      </c>
      <c r="B46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-1.179*0.0000000001)^2)-(1/3*((1.13420686227572+0.136783049036052*B29)*0.0000000001-1.179*0.0000000001)^3))))</f>
        <v>9.5658285611803446</v>
      </c>
      <c r="C46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-1.179*0.0000000001)^2)-(1/3*((1.13420686227572+0.136783049036052*C29)*0.0000000001-1.179*0.0000000001)^3))))</f>
        <v>8.9466204925865416</v>
      </c>
      <c r="D46" s="43">
        <f t="shared" ref="D46:AE46" si="48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-1.179*0.0000000001)^2)-(1/3*((1.13420686227572+0.136783049036052*D29)*0.0000000001-1.179*0.0000000001)^3))))</f>
        <v>9.5575537688760814</v>
      </c>
      <c r="E46" s="43">
        <f t="shared" si="48"/>
        <v>15.607127452045708</v>
      </c>
      <c r="F46" s="43">
        <f t="shared" si="48"/>
        <v>4.4436693015775637</v>
      </c>
      <c r="G46" s="43">
        <f t="shared" si="48"/>
        <v>6.0958222255493029</v>
      </c>
      <c r="H46" s="43">
        <f t="shared" si="48"/>
        <v>2.6613660834890402</v>
      </c>
      <c r="I46" s="43">
        <f t="shared" si="48"/>
        <v>4.8119515305926992</v>
      </c>
      <c r="J46" s="43">
        <f t="shared" si="48"/>
        <v>15.668350469787491</v>
      </c>
      <c r="K46" s="43">
        <f t="shared" si="48"/>
        <v>14.744467611253135</v>
      </c>
      <c r="L46" s="43">
        <f t="shared" si="48"/>
        <v>5.3355496655477781</v>
      </c>
      <c r="M46" s="43">
        <f t="shared" si="48"/>
        <v>5.5668248997936649</v>
      </c>
      <c r="N46" s="43">
        <f t="shared" si="48"/>
        <v>5.9994504567838467</v>
      </c>
      <c r="O46" s="43">
        <f t="shared" si="48"/>
        <v>5.0931988707872984</v>
      </c>
      <c r="P46" s="43">
        <f t="shared" si="48"/>
        <v>3.5622341515436768</v>
      </c>
      <c r="Q46" s="43">
        <f t="shared" si="48"/>
        <v>2.1493336141884156</v>
      </c>
      <c r="R46" s="43">
        <f t="shared" si="48"/>
        <v>0.84038778207497677</v>
      </c>
      <c r="S46" s="43">
        <f t="shared" si="48"/>
        <v>2.4560180652619858</v>
      </c>
      <c r="T46" s="43">
        <f t="shared" si="48"/>
        <v>1.8313292294621275</v>
      </c>
      <c r="U46" s="43">
        <f t="shared" si="48"/>
        <v>0.95613734111772142</v>
      </c>
      <c r="V46" s="43">
        <f t="shared" si="48"/>
        <v>4.3880176141794722</v>
      </c>
      <c r="W46" s="43">
        <f t="shared" si="48"/>
        <v>1.8825588308206145</v>
      </c>
      <c r="X46" s="43">
        <f t="shared" si="48"/>
        <v>1.5221986958065252</v>
      </c>
      <c r="Y46" s="43">
        <f t="shared" si="48"/>
        <v>1.9226388237330416</v>
      </c>
      <c r="Z46" s="43">
        <f t="shared" si="48"/>
        <v>1.6526667885683657</v>
      </c>
      <c r="AA46" s="43">
        <f t="shared" si="48"/>
        <v>2.4215366219248318</v>
      </c>
      <c r="AB46" s="43">
        <f t="shared" si="48"/>
        <v>26.987145992149607</v>
      </c>
      <c r="AC46" s="43">
        <f t="shared" si="48"/>
        <v>3.4959076876788506</v>
      </c>
      <c r="AD46" s="43">
        <f t="shared" si="48"/>
        <v>2.0275023733434065</v>
      </c>
      <c r="AE46" s="43">
        <f t="shared" si="48"/>
        <v>105.66587668561121</v>
      </c>
    </row>
    <row r="47" spans="1:31" x14ac:dyDescent="0.2">
      <c r="A47" s="41" t="s">
        <v>20</v>
      </c>
      <c r="B47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-1.163*0.0000000001)^2)-(1/3*((1.13420686227572+0.136783049036052*B29)*0.0000000001-1.163*0.0000000001)^3))))</f>
        <v>9.881755090331497</v>
      </c>
      <c r="C47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-1.163*0.0000000001)^2)-(1/3*((1.13420686227572+0.136783049036052*C29)*0.0000000001-1.163*0.0000000001)^3))))</f>
        <v>9.2565801042451561</v>
      </c>
      <c r="D47" s="43">
        <f t="shared" ref="D47:AE47" si="49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-1.163*0.0000000001)^2)-(1/3*((1.13420686227572+0.136783049036052*D29)*0.0000000001-1.163*0.0000000001)^3))))</f>
        <v>10.293663661460871</v>
      </c>
      <c r="E47" s="43">
        <f t="shared" si="49"/>
        <v>17.357695643558799</v>
      </c>
      <c r="F47" s="43">
        <f t="shared" si="49"/>
        <v>4.9078005201901052</v>
      </c>
      <c r="G47" s="43">
        <f t="shared" si="49"/>
        <v>6.8636568219273695</v>
      </c>
      <c r="H47" s="43">
        <f t="shared" si="49"/>
        <v>3.002016695087621</v>
      </c>
      <c r="I47" s="43">
        <f t="shared" si="49"/>
        <v>5.3889513257424504</v>
      </c>
      <c r="J47" s="43">
        <f t="shared" si="49"/>
        <v>17.390121178234573</v>
      </c>
      <c r="K47" s="43">
        <f t="shared" si="49"/>
        <v>16.493083107888062</v>
      </c>
      <c r="L47" s="43">
        <f t="shared" si="49"/>
        <v>6.1489468623500283</v>
      </c>
      <c r="M47" s="43">
        <f t="shared" si="49"/>
        <v>6.4594183051349772</v>
      </c>
      <c r="N47" s="43">
        <f t="shared" si="49"/>
        <v>6.9239516152196252</v>
      </c>
      <c r="O47" s="43">
        <f t="shared" si="49"/>
        <v>5.7046999151193347</v>
      </c>
      <c r="P47" s="43">
        <f t="shared" si="49"/>
        <v>4.0560014504003465</v>
      </c>
      <c r="Q47" s="43">
        <f t="shared" si="49"/>
        <v>2.4155638916002449</v>
      </c>
      <c r="R47" s="43">
        <f t="shared" si="49"/>
        <v>0.93180006913100921</v>
      </c>
      <c r="S47" s="43">
        <f t="shared" si="49"/>
        <v>2.7430121662271607</v>
      </c>
      <c r="T47" s="43">
        <f t="shared" si="49"/>
        <v>2.0619089991846185</v>
      </c>
      <c r="U47" s="43">
        <f t="shared" si="49"/>
        <v>1.0498441101992995</v>
      </c>
      <c r="V47" s="43">
        <f t="shared" si="49"/>
        <v>5.006949324453652</v>
      </c>
      <c r="W47" s="43">
        <f t="shared" si="49"/>
        <v>2.0539087582482454</v>
      </c>
      <c r="X47" s="43">
        <f t="shared" si="49"/>
        <v>1.6709918603996312</v>
      </c>
      <c r="Y47" s="43">
        <f t="shared" si="49"/>
        <v>2.2040703685176459</v>
      </c>
      <c r="Z47" s="43">
        <f t="shared" si="49"/>
        <v>1.8835073180884101</v>
      </c>
      <c r="AA47" s="43">
        <f t="shared" si="49"/>
        <v>2.7380344658329241</v>
      </c>
      <c r="AB47" s="43">
        <f t="shared" si="49"/>
        <v>30.594811010112313</v>
      </c>
      <c r="AC47" s="43">
        <f t="shared" si="49"/>
        <v>3.8404360389855046</v>
      </c>
      <c r="AD47" s="43">
        <f t="shared" si="49"/>
        <v>2.1781455570938637</v>
      </c>
      <c r="AE47" s="43">
        <f t="shared" si="49"/>
        <v>118.2397893879314</v>
      </c>
    </row>
    <row r="48" spans="1:31" x14ac:dyDescent="0.2">
      <c r="A48" s="41" t="s">
        <v>21</v>
      </c>
      <c r="B48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-1.132*0.0000000001)^2)-(1/3*((1.13420686227572+0.136783049036052*B29)*0.0000000001-1.132*0.0000000001)^3))))</f>
        <v>8.91802026897175</v>
      </c>
      <c r="C48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-1.132*0.0000000001)^2)-(1/3*((1.13420686227572+0.136783049036052*C29)*0.0000000001-1.132*0.0000000001)^3))))</f>
        <v>8.4315252461823089</v>
      </c>
      <c r="D48" s="43">
        <f t="shared" ref="D48:AE48" si="50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-1.132*0.0000000001)^2)-(1/3*((1.13420686227572+0.136783049036052*D29)*0.0000000001-1.132*0.0000000001)^3))))</f>
        <v>10.088268726665085</v>
      </c>
      <c r="E48" s="43">
        <f t="shared" si="50"/>
        <v>18.305849925281134</v>
      </c>
      <c r="F48" s="43">
        <f t="shared" si="50"/>
        <v>5.1477562269417003</v>
      </c>
      <c r="G48" s="43">
        <f t="shared" si="50"/>
        <v>7.3792160025686213</v>
      </c>
      <c r="H48" s="43">
        <f t="shared" si="50"/>
        <v>3.2501389598080026</v>
      </c>
      <c r="I48" s="43">
        <f t="shared" si="50"/>
        <v>5.7745924057820988</v>
      </c>
      <c r="J48" s="43">
        <f t="shared" si="50"/>
        <v>17.991928513432228</v>
      </c>
      <c r="K48" s="43">
        <f t="shared" si="50"/>
        <v>17.33131271077179</v>
      </c>
      <c r="L48" s="43">
        <f t="shared" si="50"/>
        <v>6.780652759030021</v>
      </c>
      <c r="M48" s="43">
        <f t="shared" si="50"/>
        <v>7.1566076733258379</v>
      </c>
      <c r="N48" s="43">
        <f t="shared" si="50"/>
        <v>7.6428050175398106</v>
      </c>
      <c r="O48" s="43">
        <f t="shared" si="50"/>
        <v>6.1683846486429985</v>
      </c>
      <c r="P48" s="43">
        <f t="shared" si="50"/>
        <v>4.418799628963944</v>
      </c>
      <c r="Q48" s="43">
        <f t="shared" si="50"/>
        <v>2.5956312755317028</v>
      </c>
      <c r="R48" s="43">
        <f t="shared" si="50"/>
        <v>0.97092884980271843</v>
      </c>
      <c r="S48" s="43">
        <f t="shared" si="50"/>
        <v>2.9500395507398891</v>
      </c>
      <c r="T48" s="43">
        <f t="shared" si="50"/>
        <v>2.2308190979722751</v>
      </c>
      <c r="U48" s="43">
        <f t="shared" si="50"/>
        <v>1.0950727763258796</v>
      </c>
      <c r="V48" s="43">
        <f t="shared" si="50"/>
        <v>5.4683069905147512</v>
      </c>
      <c r="W48" s="43">
        <f t="shared" si="50"/>
        <v>2.1555920413773437</v>
      </c>
      <c r="X48" s="43">
        <f t="shared" si="50"/>
        <v>1.7463515182340787</v>
      </c>
      <c r="Y48" s="43">
        <f t="shared" si="50"/>
        <v>2.4117328962707889</v>
      </c>
      <c r="Z48" s="43">
        <f t="shared" si="50"/>
        <v>2.0538100661828733</v>
      </c>
      <c r="AA48" s="43">
        <f t="shared" si="50"/>
        <v>2.954153408783442</v>
      </c>
      <c r="AB48" s="43">
        <f t="shared" si="50"/>
        <v>31.739861892316203</v>
      </c>
      <c r="AC48" s="43">
        <f t="shared" si="50"/>
        <v>4.0240656176518828</v>
      </c>
      <c r="AD48" s="43">
        <f t="shared" si="50"/>
        <v>2.1845248334699696</v>
      </c>
      <c r="AE48" s="43">
        <f t="shared" si="50"/>
        <v>127.76663249175638</v>
      </c>
    </row>
    <row r="49" spans="1:31" ht="18" x14ac:dyDescent="0.2">
      <c r="A49" s="41" t="s">
        <v>79</v>
      </c>
      <c r="B49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-1.12*0.0000000001)^2)-(1/3*((1.13420686227572+0.136783049036052*B29)*0.0000000001-1.12*0.0000000001)^3))))</f>
        <v>8.0987777896061601</v>
      </c>
      <c r="C49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-1.12*0.0000000001)^2)-(1/3*((1.13420686227572+0.136783049036052*C29)*0.0000000001-1.12*0.0000000001)^3))))</f>
        <v>7.7008390196501022</v>
      </c>
      <c r="D49" s="43">
        <f t="shared" ref="D49:AE49" si="51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-1.12*0.0000000001)^2)-(1/3*((1.13420686227572+0.136783049036052*D29)*0.0000000001-1.12*0.0000000001)^3))))</f>
        <v>9.4638628734535892</v>
      </c>
      <c r="E49" s="43">
        <f t="shared" si="51"/>
        <v>17.734409322956189</v>
      </c>
      <c r="F49" s="43">
        <f t="shared" si="51"/>
        <v>4.9902731183706495</v>
      </c>
      <c r="G49" s="43">
        <f t="shared" si="51"/>
        <v>7.1908408697653021</v>
      </c>
      <c r="H49" s="43">
        <f t="shared" si="51"/>
        <v>3.1795297084680647</v>
      </c>
      <c r="I49" s="43">
        <f t="shared" si="51"/>
        <v>5.633709164819237</v>
      </c>
      <c r="J49" s="43">
        <f t="shared" si="51"/>
        <v>17.211811004501261</v>
      </c>
      <c r="K49" s="43">
        <f t="shared" si="51"/>
        <v>16.682257595931329</v>
      </c>
      <c r="L49" s="43">
        <f t="shared" si="51"/>
        <v>6.6279117217427475</v>
      </c>
      <c r="M49" s="43">
        <f t="shared" si="51"/>
        <v>6.9877351609648954</v>
      </c>
      <c r="N49" s="43">
        <f t="shared" si="51"/>
        <v>7.4689280882128397</v>
      </c>
      <c r="O49" s="43">
        <f t="shared" si="51"/>
        <v>6.0570960721027616</v>
      </c>
      <c r="P49" s="43">
        <f t="shared" si="51"/>
        <v>4.3156841188050921</v>
      </c>
      <c r="Q49" s="43">
        <f t="shared" si="51"/>
        <v>2.5315165053372479</v>
      </c>
      <c r="R49" s="43">
        <f t="shared" si="51"/>
        <v>0.93428228730966956</v>
      </c>
      <c r="S49" s="43">
        <f t="shared" si="51"/>
        <v>2.8909597581566406</v>
      </c>
      <c r="T49" s="43">
        <f t="shared" si="51"/>
        <v>2.1839617860905483</v>
      </c>
      <c r="U49" s="43">
        <f t="shared" si="51"/>
        <v>1.0613893849539175</v>
      </c>
      <c r="V49" s="43">
        <f t="shared" si="51"/>
        <v>5.3427489218077913</v>
      </c>
      <c r="W49" s="43">
        <f t="shared" si="51"/>
        <v>2.1075650122030338</v>
      </c>
      <c r="X49" s="43">
        <f t="shared" si="51"/>
        <v>1.6952844485477712</v>
      </c>
      <c r="Y49" s="43">
        <f t="shared" si="51"/>
        <v>2.352342503034913</v>
      </c>
      <c r="Z49" s="43">
        <f t="shared" si="51"/>
        <v>2.0059409461341482</v>
      </c>
      <c r="AA49" s="43">
        <f t="shared" si="51"/>
        <v>2.8781608481846144</v>
      </c>
      <c r="AB49" s="43">
        <f t="shared" si="51"/>
        <v>29.999077297191072</v>
      </c>
      <c r="AC49" s="43">
        <f t="shared" si="51"/>
        <v>3.9118950243985915</v>
      </c>
      <c r="AD49" s="43">
        <f t="shared" si="51"/>
        <v>2.0875867830662691</v>
      </c>
      <c r="AE49" s="43">
        <f t="shared" si="51"/>
        <v>125.48066889713098</v>
      </c>
    </row>
    <row r="50" spans="1:31" x14ac:dyDescent="0.2">
      <c r="A50" s="41" t="s">
        <v>22</v>
      </c>
      <c r="B50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-1.107*0.0000000001)^2)-(1/3*((1.13420686227572+0.136783049036052*B29)*0.0000000001-1.107*0.0000000001)^3))))</f>
        <v>7.0487047286681834</v>
      </c>
      <c r="C50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-1.107*0.0000000001)^2)-(1/3*((1.13420686227572+0.136783049036052*C29)*0.0000000001-1.107*0.0000000001)^3))))</f>
        <v>6.7527051112787415</v>
      </c>
      <c r="D50" s="43">
        <f t="shared" ref="D50:AE50" si="52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-1.107*0.0000000001)^2)-(1/3*((1.13420686227572+0.136783049036052*D29)*0.0000000001-1.107*0.0000000001)^3))))</f>
        <v>8.5344120932882443</v>
      </c>
      <c r="E50" s="43">
        <f t="shared" si="52"/>
        <v>16.598119255329653</v>
      </c>
      <c r="F50" s="43">
        <f t="shared" si="52"/>
        <v>4.6816379007872344</v>
      </c>
      <c r="G50" s="43">
        <f t="shared" si="52"/>
        <v>6.7663345545033904</v>
      </c>
      <c r="H50" s="43">
        <f t="shared" si="52"/>
        <v>3.0066545624704486</v>
      </c>
      <c r="I50" s="43">
        <f t="shared" si="52"/>
        <v>5.3156902233627097</v>
      </c>
      <c r="J50" s="43">
        <f t="shared" si="52"/>
        <v>15.840226341950732</v>
      </c>
      <c r="K50" s="43">
        <f t="shared" si="52"/>
        <v>15.456902449192372</v>
      </c>
      <c r="L50" s="43">
        <f t="shared" si="52"/>
        <v>6.2317837000166865</v>
      </c>
      <c r="M50" s="43">
        <f t="shared" si="52"/>
        <v>6.5506531784483055</v>
      </c>
      <c r="N50" s="43">
        <f t="shared" si="52"/>
        <v>7.0181754468355324</v>
      </c>
      <c r="O50" s="43">
        <f t="shared" si="52"/>
        <v>5.7660302089195818</v>
      </c>
      <c r="P50" s="43">
        <f t="shared" si="52"/>
        <v>4.063667720839276</v>
      </c>
      <c r="Q50" s="43">
        <f t="shared" si="52"/>
        <v>2.3857897317969865</v>
      </c>
      <c r="R50" s="43">
        <f t="shared" si="52"/>
        <v>0.86693357140432525</v>
      </c>
      <c r="S50" s="43">
        <f t="shared" si="52"/>
        <v>2.7461161950250714</v>
      </c>
      <c r="T50" s="43">
        <f t="shared" si="52"/>
        <v>2.0681218080860035</v>
      </c>
      <c r="U50" s="43">
        <f t="shared" si="52"/>
        <v>0.99676143250653937</v>
      </c>
      <c r="V50" s="43">
        <f t="shared" si="52"/>
        <v>5.031087939961278</v>
      </c>
      <c r="W50" s="43">
        <f t="shared" si="52"/>
        <v>2.0057178442402894</v>
      </c>
      <c r="X50" s="43">
        <f t="shared" si="52"/>
        <v>1.5955502021009136</v>
      </c>
      <c r="Y50" s="43">
        <f t="shared" si="52"/>
        <v>2.2077508801501562</v>
      </c>
      <c r="Z50" s="43">
        <f t="shared" si="52"/>
        <v>1.888498493783499</v>
      </c>
      <c r="AA50" s="43">
        <f t="shared" si="52"/>
        <v>2.705065041122916</v>
      </c>
      <c r="AB50" s="43">
        <f t="shared" si="52"/>
        <v>27.032473208210543</v>
      </c>
      <c r="AC50" s="43">
        <f t="shared" si="52"/>
        <v>3.6882775386260316</v>
      </c>
      <c r="AD50" s="43">
        <f t="shared" si="52"/>
        <v>1.9318994210622367</v>
      </c>
      <c r="AE50" s="43">
        <f t="shared" si="52"/>
        <v>119.50024050014007</v>
      </c>
    </row>
    <row r="51" spans="1:31" x14ac:dyDescent="0.2">
      <c r="A51" s="41" t="s">
        <v>23</v>
      </c>
      <c r="B51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-1.095*0.0000000001)^2)-(1/3*((1.13420686227572+0.136783049036052*B29)*0.0000000001-1.095*0.0000000001)^3))))</f>
        <v>6.010809694442373</v>
      </c>
      <c r="C51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-1.095*0.0000000001)^2)-(1/3*((1.13420686227572+0.136783049036052*C29)*0.0000000001-1.095*0.0000000001)^3))))</f>
        <v>5.8050810323433142</v>
      </c>
      <c r="D51" s="43">
        <f t="shared" ref="D51:AE51" si="53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-1.095*0.0000000001)^2)-(1/3*((1.13420686227572+0.136783049036052*D29)*0.0000000001-1.095*0.0000000001)^3))))</f>
        <v>7.5222759297772992</v>
      </c>
      <c r="E51" s="43">
        <f t="shared" si="53"/>
        <v>15.171447343962416</v>
      </c>
      <c r="F51" s="43">
        <f t="shared" si="53"/>
        <v>4.2951220414948788</v>
      </c>
      <c r="G51" s="43">
        <f t="shared" si="53"/>
        <v>6.2099994122865443</v>
      </c>
      <c r="H51" s="43">
        <f t="shared" si="53"/>
        <v>2.7738738607038105</v>
      </c>
      <c r="I51" s="43">
        <f t="shared" si="53"/>
        <v>4.8975670906056443</v>
      </c>
      <c r="J51" s="43">
        <f t="shared" si="53"/>
        <v>14.214986420880201</v>
      </c>
      <c r="K51" s="43">
        <f t="shared" si="53"/>
        <v>13.958735878648296</v>
      </c>
      <c r="L51" s="43">
        <f t="shared" si="53"/>
        <v>5.6941203502805529</v>
      </c>
      <c r="M51" s="43">
        <f t="shared" si="53"/>
        <v>5.9595554827133483</v>
      </c>
      <c r="N51" s="43">
        <f t="shared" si="53"/>
        <v>6.4068359704951812</v>
      </c>
      <c r="O51" s="43">
        <f t="shared" si="53"/>
        <v>5.3649213752448865</v>
      </c>
      <c r="P51" s="43">
        <f t="shared" si="53"/>
        <v>3.7259747184478442</v>
      </c>
      <c r="Q51" s="43">
        <f t="shared" si="53"/>
        <v>2.1940531083331036</v>
      </c>
      <c r="R51" s="43">
        <f t="shared" si="53"/>
        <v>0.78524966038938926</v>
      </c>
      <c r="S51" s="43">
        <f t="shared" si="53"/>
        <v>2.5500976084502276</v>
      </c>
      <c r="T51" s="43">
        <f t="shared" si="53"/>
        <v>1.91152963942156</v>
      </c>
      <c r="U51" s="43">
        <f t="shared" si="53"/>
        <v>0.91632727831034355</v>
      </c>
      <c r="V51" s="43">
        <f t="shared" si="53"/>
        <v>4.6118264592944938</v>
      </c>
      <c r="W51" s="43">
        <f t="shared" si="53"/>
        <v>1.8731307252709661</v>
      </c>
      <c r="X51" s="43">
        <f t="shared" si="53"/>
        <v>1.4704239888465411</v>
      </c>
      <c r="Y51" s="43">
        <f t="shared" si="53"/>
        <v>2.0148488569063279</v>
      </c>
      <c r="Z51" s="43">
        <f t="shared" si="53"/>
        <v>1.7310046486993247</v>
      </c>
      <c r="AA51" s="43">
        <f t="shared" si="53"/>
        <v>2.4778107886923837</v>
      </c>
      <c r="AB51" s="43">
        <f t="shared" si="53"/>
        <v>23.620227037698555</v>
      </c>
      <c r="AC51" s="43">
        <f t="shared" si="53"/>
        <v>3.4053435280187392</v>
      </c>
      <c r="AD51" s="43">
        <f t="shared" si="53"/>
        <v>1.7531209342892213</v>
      </c>
      <c r="AE51" s="43">
        <f t="shared" si="53"/>
        <v>111.25461575979439</v>
      </c>
    </row>
    <row r="52" spans="1:31" x14ac:dyDescent="0.2">
      <c r="A52" s="41" t="s">
        <v>24</v>
      </c>
      <c r="B52" s="44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-1.083*0.0000000001)^2)-(1/3*((1.13420686227572+0.136783049036052*B29)*0.0000000001-1.083*0.0000000001)^3))))</f>
        <v>4.9784632516857963</v>
      </c>
      <c r="C52" s="44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-1.083*0.0000000001)^2)-(1/3*((1.13420686227572+0.136783049036052*C29)*0.0000000001-1.083*0.0000000001)^3))))</f>
        <v>4.8523540663098137</v>
      </c>
      <c r="D52" s="44">
        <f t="shared" ref="D52:AE52" si="54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-1.083*0.0000000001)^2)-(1/3*((1.13420686227572+0.136783049036052*D29)*0.0000000001-1.083*0.0000000001)^3))))</f>
        <v>6.4413227768036645</v>
      </c>
      <c r="E52" s="44">
        <f t="shared" si="54"/>
        <v>13.498432917111524</v>
      </c>
      <c r="F52" s="44">
        <f t="shared" si="54"/>
        <v>3.8411234636887994</v>
      </c>
      <c r="G52" s="44">
        <f t="shared" si="54"/>
        <v>5.543174229931557</v>
      </c>
      <c r="H52" s="44">
        <f t="shared" si="54"/>
        <v>2.4904866603343532</v>
      </c>
      <c r="I52" s="44">
        <f t="shared" si="54"/>
        <v>4.3941686972845515</v>
      </c>
      <c r="J52" s="44">
        <f t="shared" si="54"/>
        <v>12.383963096447138</v>
      </c>
      <c r="K52" s="44">
        <f t="shared" si="54"/>
        <v>12.238455070981029</v>
      </c>
      <c r="L52" s="44">
        <f t="shared" si="54"/>
        <v>5.0426322453143415</v>
      </c>
      <c r="M52" s="44">
        <f t="shared" si="54"/>
        <v>5.2469397622888039</v>
      </c>
      <c r="N52" s="44">
        <f t="shared" si="54"/>
        <v>5.6668600385964947</v>
      </c>
      <c r="O52" s="44">
        <f t="shared" si="54"/>
        <v>4.8684987182072677</v>
      </c>
      <c r="P52" s="44">
        <f t="shared" si="54"/>
        <v>3.3177550551421278</v>
      </c>
      <c r="Q52" s="44">
        <f t="shared" si="54"/>
        <v>1.9634812673139739</v>
      </c>
      <c r="R52" s="44">
        <f t="shared" si="54"/>
        <v>0.69159271003878875</v>
      </c>
      <c r="S52" s="44">
        <f t="shared" si="54"/>
        <v>2.3096932059378865</v>
      </c>
      <c r="T52" s="44">
        <f t="shared" si="54"/>
        <v>1.7202983736457544</v>
      </c>
      <c r="U52" s="44">
        <f t="shared" si="54"/>
        <v>0.82197516133093096</v>
      </c>
      <c r="V52" s="44">
        <f t="shared" si="54"/>
        <v>4.1042901963375469</v>
      </c>
      <c r="W52" s="44">
        <f t="shared" si="54"/>
        <v>1.712503042904302</v>
      </c>
      <c r="X52" s="44">
        <f t="shared" si="54"/>
        <v>1.3228350455880726</v>
      </c>
      <c r="Y52" s="44">
        <f t="shared" si="54"/>
        <v>1.7829645602649387</v>
      </c>
      <c r="Z52" s="44">
        <f t="shared" si="54"/>
        <v>1.5406064568352846</v>
      </c>
      <c r="AA52" s="44">
        <f t="shared" si="54"/>
        <v>2.2056410287967663</v>
      </c>
      <c r="AB52" s="44">
        <f t="shared" si="54"/>
        <v>19.900824490183943</v>
      </c>
      <c r="AC52" s="44">
        <f t="shared" si="54"/>
        <v>3.069863363410176</v>
      </c>
      <c r="AD52" s="44">
        <f t="shared" si="54"/>
        <v>1.5532011823251624</v>
      </c>
      <c r="AE52" s="44">
        <f t="shared" si="54"/>
        <v>101.04239916727856</v>
      </c>
    </row>
    <row r="53" spans="1:31" x14ac:dyDescent="0.2">
      <c r="A53" s="41" t="s">
        <v>25</v>
      </c>
      <c r="B53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-1.075*0.0000000001)^2)-(1/3*((1.13420686227572+0.136783049036052*B29)*0.0000000001-1.075*0.0000000001)^3))))</f>
        <v>4.3216419978940115</v>
      </c>
      <c r="C53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-1.075*0.0000000001)^2)-(1/3*((1.13420686227572+0.136783049036052*C29)*0.0000000001-1.075*0.0000000001)^3))))</f>
        <v>4.2405175207679981</v>
      </c>
      <c r="D53" s="43">
        <f t="shared" ref="D53:AE53" si="55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-1.075*0.0000000001)^2)-(1/3*((1.13420686227572+0.136783049036052*D29)*0.0000000001-1.075*0.0000000001)^3))))</f>
        <v>5.7178121115607174</v>
      </c>
      <c r="E53" s="43">
        <f t="shared" si="55"/>
        <v>12.304948081585399</v>
      </c>
      <c r="F53" s="43">
        <f t="shared" si="55"/>
        <v>3.5162097854826015</v>
      </c>
      <c r="G53" s="43">
        <f t="shared" si="55"/>
        <v>5.0617356275047243</v>
      </c>
      <c r="H53" s="43">
        <f t="shared" si="55"/>
        <v>2.2837917333324813</v>
      </c>
      <c r="I53" s="43">
        <f t="shared" si="55"/>
        <v>4.0290390979384618</v>
      </c>
      <c r="J53" s="43">
        <f t="shared" si="55"/>
        <v>11.115518991065533</v>
      </c>
      <c r="K53" s="43">
        <f t="shared" si="55"/>
        <v>11.032067246594153</v>
      </c>
      <c r="L53" s="43">
        <f t="shared" si="55"/>
        <v>4.5717635706061728</v>
      </c>
      <c r="M53" s="43">
        <f t="shared" si="55"/>
        <v>4.7346138627142649</v>
      </c>
      <c r="N53" s="43">
        <f t="shared" si="55"/>
        <v>5.1326296178537536</v>
      </c>
      <c r="O53" s="43">
        <f t="shared" si="55"/>
        <v>4.5016766071984247</v>
      </c>
      <c r="P53" s="43">
        <f t="shared" si="55"/>
        <v>3.0222123339346312</v>
      </c>
      <c r="Q53" s="43">
        <f t="shared" si="55"/>
        <v>1.7965436748183319</v>
      </c>
      <c r="R53" s="43">
        <f t="shared" si="55"/>
        <v>0.62582112504865439</v>
      </c>
      <c r="S53" s="43">
        <f t="shared" si="55"/>
        <v>2.1329727561186091</v>
      </c>
      <c r="T53" s="43">
        <f t="shared" si="55"/>
        <v>1.5804514956416524</v>
      </c>
      <c r="U53" s="43">
        <f t="shared" si="55"/>
        <v>0.75439755933123365</v>
      </c>
      <c r="V53" s="43">
        <f t="shared" si="55"/>
        <v>3.7367076080486346</v>
      </c>
      <c r="W53" s="43">
        <f t="shared" si="55"/>
        <v>1.5945825653962324</v>
      </c>
      <c r="X53" s="43">
        <f t="shared" si="55"/>
        <v>1.2166989637967174</v>
      </c>
      <c r="Y53" s="43">
        <f t="shared" si="55"/>
        <v>1.6160442082042792</v>
      </c>
      <c r="Z53" s="43">
        <f t="shared" si="55"/>
        <v>1.4027917086847501</v>
      </c>
      <c r="AA53" s="43">
        <f t="shared" si="55"/>
        <v>2.009479671540185</v>
      </c>
      <c r="AB53" s="43">
        <f t="shared" si="55"/>
        <v>17.404333163335632</v>
      </c>
      <c r="AC53" s="43">
        <f t="shared" si="55"/>
        <v>2.8277561952015464</v>
      </c>
      <c r="AD53" s="43">
        <f t="shared" si="55"/>
        <v>1.4141834059668676</v>
      </c>
      <c r="AE53" s="43">
        <f t="shared" si="55"/>
        <v>93.49070060544669</v>
      </c>
    </row>
    <row r="54" spans="1:31" x14ac:dyDescent="0.2">
      <c r="A54" s="41" t="s">
        <v>26</v>
      </c>
      <c r="B54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-1.072*0.0000000001)^2)-(1/3*((1.13420686227572+0.136783049036052*B29)*0.0000000001-1.072*0.0000000001)^3))))</f>
        <v>4.0851435530595275</v>
      </c>
      <c r="C54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-1.072*0.0000000001)^2)-(1/3*((1.13420686227572+0.136783049036052*C29)*0.0000000001-1.072*0.0000000001)^3))))</f>
        <v>4.0190386576340904</v>
      </c>
      <c r="D54" s="43">
        <f t="shared" ref="D54:AE54" si="56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-1.072*0.0000000001)^2)-(1/3*((1.13420686227572+0.136783049036052*D29)*0.0000000001-1.072*0.0000000001)^3))))</f>
        <v>5.450522753596065</v>
      </c>
      <c r="E54" s="43">
        <f t="shared" si="56"/>
        <v>11.849725708258472</v>
      </c>
      <c r="F54" s="43">
        <f t="shared" si="56"/>
        <v>3.3919860269456463</v>
      </c>
      <c r="G54" s="43">
        <f t="shared" si="56"/>
        <v>4.8771632809559735</v>
      </c>
      <c r="H54" s="43">
        <f t="shared" si="56"/>
        <v>2.2041461451935569</v>
      </c>
      <c r="I54" s="43">
        <f t="shared" si="56"/>
        <v>3.8886487758398358</v>
      </c>
      <c r="J54" s="43">
        <f t="shared" si="56"/>
        <v>10.639170456989902</v>
      </c>
      <c r="K54" s="43">
        <f t="shared" si="56"/>
        <v>10.576344007179079</v>
      </c>
      <c r="L54" s="43">
        <f t="shared" si="56"/>
        <v>4.3915343653788357</v>
      </c>
      <c r="M54" s="43">
        <f t="shared" si="56"/>
        <v>4.5391739265338078</v>
      </c>
      <c r="N54" s="43">
        <f t="shared" si="56"/>
        <v>4.9282919051054774</v>
      </c>
      <c r="O54" s="43">
        <f t="shared" si="56"/>
        <v>4.359291661078978</v>
      </c>
      <c r="P54" s="43">
        <f t="shared" si="56"/>
        <v>2.9088657419138855</v>
      </c>
      <c r="Q54" s="43">
        <f t="shared" si="56"/>
        <v>1.7324390699975416</v>
      </c>
      <c r="R54" s="43">
        <f t="shared" si="56"/>
        <v>0.6009362478096153</v>
      </c>
      <c r="S54" s="43">
        <f t="shared" si="56"/>
        <v>2.064538488421753</v>
      </c>
      <c r="T54" s="43">
        <f t="shared" si="56"/>
        <v>1.5264820159948356</v>
      </c>
      <c r="U54" s="43">
        <f t="shared" si="56"/>
        <v>0.72853519091635444</v>
      </c>
      <c r="V54" s="43">
        <f t="shared" si="56"/>
        <v>3.5957333705527872</v>
      </c>
      <c r="W54" s="43">
        <f t="shared" si="56"/>
        <v>1.5488401080026182</v>
      </c>
      <c r="X54" s="43">
        <f t="shared" si="56"/>
        <v>1.17599233157778</v>
      </c>
      <c r="Y54" s="43">
        <f t="shared" si="56"/>
        <v>1.5522565552543464</v>
      </c>
      <c r="Z54" s="43">
        <f t="shared" si="56"/>
        <v>1.3499474632456252</v>
      </c>
      <c r="AA54" s="43">
        <f t="shared" si="56"/>
        <v>1.9343737613997416</v>
      </c>
      <c r="AB54" s="43">
        <f t="shared" si="56"/>
        <v>16.484622762607739</v>
      </c>
      <c r="AC54" s="43">
        <f t="shared" si="56"/>
        <v>2.7347351449312747</v>
      </c>
      <c r="AD54" s="43">
        <f t="shared" si="56"/>
        <v>1.3617078789736559</v>
      </c>
      <c r="AE54" s="43">
        <f t="shared" si="56"/>
        <v>90.558078524178271</v>
      </c>
    </row>
    <row r="55" spans="1:31" x14ac:dyDescent="0.2">
      <c r="A55" s="41" t="s">
        <v>27</v>
      </c>
      <c r="B55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-1.062*0.0000000001)^2)-(1/3*((1.13420686227572+0.136783049036052*B29)*0.0000000001-1.062*0.0000000001)^3))))</f>
        <v>3.3442776667419158</v>
      </c>
      <c r="C55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-1.062*0.0000000001)^2)-(1/3*((1.13420686227572+0.136783049036052*C29)*0.0000000001-1.062*0.0000000001)^3))))</f>
        <v>3.3207546390051861</v>
      </c>
      <c r="D55" s="43">
        <f t="shared" ref="D55:AE55" si="57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-1.062*0.0000000001)^2)-(1/3*((1.13420686227572+0.136783049036052*D29)*0.0000000001-1.062*0.0000000001)^3))))</f>
        <v>4.5892705903044835</v>
      </c>
      <c r="E55" s="43">
        <f t="shared" si="57"/>
        <v>10.330111187996195</v>
      </c>
      <c r="F55" s="43">
        <f t="shared" si="57"/>
        <v>2.9759006165399073</v>
      </c>
      <c r="G55" s="43">
        <f t="shared" si="57"/>
        <v>4.2580101198556504</v>
      </c>
      <c r="H55" s="43">
        <f t="shared" si="57"/>
        <v>1.9354428722134545</v>
      </c>
      <c r="I55" s="43">
        <f t="shared" si="57"/>
        <v>3.4158938443447484</v>
      </c>
      <c r="J55" s="43">
        <f t="shared" si="57"/>
        <v>9.0776209940082886</v>
      </c>
      <c r="K55" s="43">
        <f t="shared" si="57"/>
        <v>9.0729199769358768</v>
      </c>
      <c r="L55" s="43">
        <f t="shared" si="57"/>
        <v>3.7892574558651515</v>
      </c>
      <c r="M55" s="43">
        <f t="shared" si="57"/>
        <v>3.8889554900341885</v>
      </c>
      <c r="N55" s="43">
        <f t="shared" si="57"/>
        <v>4.2460849333583832</v>
      </c>
      <c r="O55" s="43">
        <f t="shared" si="57"/>
        <v>3.8745695374814786</v>
      </c>
      <c r="P55" s="43">
        <f t="shared" si="57"/>
        <v>2.5288395807784179</v>
      </c>
      <c r="Q55" s="43">
        <f t="shared" si="57"/>
        <v>1.5169565704074666</v>
      </c>
      <c r="R55" s="43">
        <f t="shared" si="57"/>
        <v>0.51862928186023338</v>
      </c>
      <c r="S55" s="43">
        <f t="shared" si="57"/>
        <v>1.8321331133562959</v>
      </c>
      <c r="T55" s="43">
        <f t="shared" si="57"/>
        <v>1.3440531069113286</v>
      </c>
      <c r="U55" s="43">
        <f t="shared" si="57"/>
        <v>0.64176433015873413</v>
      </c>
      <c r="V55" s="43">
        <f t="shared" si="57"/>
        <v>3.1231675145691269</v>
      </c>
      <c r="W55" s="43">
        <f t="shared" si="57"/>
        <v>1.3928489260676891</v>
      </c>
      <c r="X55" s="43">
        <f t="shared" si="57"/>
        <v>1.0390698038725488</v>
      </c>
      <c r="Y55" s="43">
        <f t="shared" si="57"/>
        <v>1.339398028763652</v>
      </c>
      <c r="Z55" s="43">
        <f t="shared" si="57"/>
        <v>1.1728269510292837</v>
      </c>
      <c r="AA55" s="43">
        <f t="shared" si="57"/>
        <v>1.6828988542124355</v>
      </c>
      <c r="AB55" s="43">
        <f t="shared" si="57"/>
        <v>13.542313561331687</v>
      </c>
      <c r="AC55" s="43">
        <f t="shared" si="57"/>
        <v>2.4212175796982325</v>
      </c>
      <c r="AD55" s="43">
        <f t="shared" si="57"/>
        <v>1.1881556153512891</v>
      </c>
      <c r="AE55" s="43">
        <f t="shared" si="57"/>
        <v>80.568334060900426</v>
      </c>
    </row>
    <row r="56" spans="1:31" x14ac:dyDescent="0.2">
      <c r="A56" s="41" t="s">
        <v>28</v>
      </c>
      <c r="B56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-1.052*0.0000000001)^2)-(1/3*((1.13420686227572+0.136783049036052*B29)*0.0000000001-1.052*0.0000000001)^3))))</f>
        <v>2.6863918766262143</v>
      </c>
      <c r="C56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-1.052*0.0000000001)^2)-(1/3*((1.13420686227572+0.136783049036052*C29)*0.0000000001-1.052*0.0000000001)^3))))</f>
        <v>2.6942115990746633</v>
      </c>
      <c r="D56" s="43">
        <f t="shared" ref="D56:AE56" si="58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-1.052*0.0000000001)^2)-(1/3*((1.13420686227572+0.136783049036052*D29)*0.0000000001-1.052*0.0000000001)^3))))</f>
        <v>3.7921660657327787</v>
      </c>
      <c r="E56" s="43">
        <f t="shared" si="58"/>
        <v>8.8486972013257148</v>
      </c>
      <c r="F56" s="43">
        <f t="shared" si="58"/>
        <v>2.5678054096737752</v>
      </c>
      <c r="G56" s="43">
        <f t="shared" si="58"/>
        <v>3.6508038650550305</v>
      </c>
      <c r="H56" s="43">
        <f t="shared" si="58"/>
        <v>1.6696862890384314</v>
      </c>
      <c r="I56" s="43">
        <f t="shared" si="58"/>
        <v>2.9492277895175816</v>
      </c>
      <c r="J56" s="43">
        <f t="shared" si="58"/>
        <v>7.5973274819053227</v>
      </c>
      <c r="K56" s="43">
        <f t="shared" si="58"/>
        <v>7.634851836168985</v>
      </c>
      <c r="L56" s="43">
        <f t="shared" si="58"/>
        <v>3.2036757736475572</v>
      </c>
      <c r="M56" s="43">
        <f t="shared" si="58"/>
        <v>3.2615221304415534</v>
      </c>
      <c r="N56" s="43">
        <f t="shared" si="58"/>
        <v>3.5838384791880342</v>
      </c>
      <c r="O56" s="43">
        <f t="shared" si="58"/>
        <v>3.3881621804594859</v>
      </c>
      <c r="P56" s="43">
        <f t="shared" si="58"/>
        <v>2.1569493917741633</v>
      </c>
      <c r="Q56" s="43">
        <f t="shared" si="58"/>
        <v>1.3049207967126559</v>
      </c>
      <c r="R56" s="43">
        <f t="shared" si="58"/>
        <v>0.43950128015978857</v>
      </c>
      <c r="S56" s="43">
        <f t="shared" si="58"/>
        <v>1.5996833026997095</v>
      </c>
      <c r="T56" s="43">
        <f t="shared" si="58"/>
        <v>1.1630573821513441</v>
      </c>
      <c r="U56" s="43">
        <f t="shared" si="58"/>
        <v>0.55637668885283209</v>
      </c>
      <c r="V56" s="43">
        <f t="shared" si="58"/>
        <v>2.6609718264573496</v>
      </c>
      <c r="W56" s="43">
        <f t="shared" si="58"/>
        <v>1.235351546838251</v>
      </c>
      <c r="X56" s="43">
        <f t="shared" si="58"/>
        <v>0.90379870102624049</v>
      </c>
      <c r="Y56" s="43">
        <f t="shared" si="58"/>
        <v>1.1327590871265694</v>
      </c>
      <c r="Z56" s="43">
        <f t="shared" si="58"/>
        <v>0.99959931082667119</v>
      </c>
      <c r="AA56" s="43">
        <f t="shared" si="58"/>
        <v>1.4371047150063272</v>
      </c>
      <c r="AB56" s="43">
        <f t="shared" si="58"/>
        <v>10.86473168662096</v>
      </c>
      <c r="AC56" s="43">
        <f t="shared" si="58"/>
        <v>2.1105581118803922</v>
      </c>
      <c r="AD56" s="43">
        <f t="shared" si="58"/>
        <v>1.0206809709951274</v>
      </c>
      <c r="AE56" s="43">
        <f t="shared" si="58"/>
        <v>70.533279468085937</v>
      </c>
    </row>
    <row r="57" spans="1:31" x14ac:dyDescent="0.2">
      <c r="A57" s="41" t="s">
        <v>29</v>
      </c>
      <c r="B57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-1.042*0.0000000001)^2)-(1/3*((1.13420686227572+0.136783049036052*B29)*0.0000000001-1.042*0.0000000001)^3))))</f>
        <v>2.1182612951919877</v>
      </c>
      <c r="C57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-1.042*0.0000000001)^2)-(1/3*((1.13420686227572+0.136783049036052*C29)*0.0000000001-1.042*0.0000000001)^3))))</f>
        <v>2.1471949439869933</v>
      </c>
      <c r="D57" s="43">
        <f t="shared" ref="D57:AE57" si="59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-1.042*0.0000000001)^2)-(1/3*((1.13420686227572+0.136783049036052*D29)*0.0000000001-1.042*0.0000000001)^3))))</f>
        <v>3.0763580838807023</v>
      </c>
      <c r="E57" s="43">
        <f t="shared" si="59"/>
        <v>7.4505118275135205</v>
      </c>
      <c r="F57" s="43">
        <f t="shared" si="59"/>
        <v>2.1798761445979529</v>
      </c>
      <c r="G57" s="43">
        <f t="shared" si="59"/>
        <v>3.0751893817940541</v>
      </c>
      <c r="H57" s="43">
        <f t="shared" si="59"/>
        <v>1.4156614051256098</v>
      </c>
      <c r="I57" s="43">
        <f t="shared" si="59"/>
        <v>2.5035859276102239</v>
      </c>
      <c r="J57" s="43">
        <f t="shared" si="59"/>
        <v>6.2394293518470505</v>
      </c>
      <c r="K57" s="43">
        <f t="shared" si="59"/>
        <v>6.3047246231965852</v>
      </c>
      <c r="L57" s="43">
        <f t="shared" si="59"/>
        <v>2.6550842532098309</v>
      </c>
      <c r="M57" s="43">
        <f t="shared" si="59"/>
        <v>2.6787129831236838</v>
      </c>
      <c r="N57" s="43">
        <f t="shared" si="59"/>
        <v>2.9645321805399272</v>
      </c>
      <c r="O57" s="43">
        <f t="shared" si="59"/>
        <v>2.9159556385592911</v>
      </c>
      <c r="P57" s="43">
        <f t="shared" si="59"/>
        <v>1.8057063912827274</v>
      </c>
      <c r="Q57" s="43">
        <f t="shared" si="59"/>
        <v>1.1031815501840065</v>
      </c>
      <c r="R57" s="43">
        <f t="shared" si="59"/>
        <v>0.3658466156920217</v>
      </c>
      <c r="S57" s="43">
        <f t="shared" si="59"/>
        <v>1.3746643660537698</v>
      </c>
      <c r="T57" s="43">
        <f t="shared" si="59"/>
        <v>0.98946013871853766</v>
      </c>
      <c r="U57" s="43">
        <f t="shared" si="59"/>
        <v>0.47486647714431635</v>
      </c>
      <c r="V57" s="43">
        <f t="shared" si="59"/>
        <v>2.2248030070354035</v>
      </c>
      <c r="W57" s="43">
        <f t="shared" si="59"/>
        <v>1.0809065450579405</v>
      </c>
      <c r="X57" s="43">
        <f t="shared" si="59"/>
        <v>0.77414784119885671</v>
      </c>
      <c r="Y57" s="43">
        <f t="shared" si="59"/>
        <v>0.9393415288000232</v>
      </c>
      <c r="Z57" s="43">
        <f t="shared" si="59"/>
        <v>0.83610583636819724</v>
      </c>
      <c r="AA57" s="43">
        <f t="shared" si="59"/>
        <v>1.2050230107297915</v>
      </c>
      <c r="AB57" s="43">
        <f t="shared" si="59"/>
        <v>8.5166193289120713</v>
      </c>
      <c r="AC57" s="43">
        <f t="shared" si="59"/>
        <v>1.8119364180548039</v>
      </c>
      <c r="AD57" s="43">
        <f t="shared" si="59"/>
        <v>0.86352055570319897</v>
      </c>
      <c r="AE57" s="43">
        <f t="shared" si="59"/>
        <v>60.779605091688715</v>
      </c>
    </row>
    <row r="58" spans="1:31" x14ac:dyDescent="0.2">
      <c r="A58" s="41" t="s">
        <v>30</v>
      </c>
      <c r="B58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-1.032*0.0000000001)^2)-(1/3*((1.13420686227572+0.136783049036052*B29)*0.0000000001-1.032*0.0000000001)^3))))</f>
        <v>1.6402268707298835</v>
      </c>
      <c r="C58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-1.032*0.0000000001)^2)-(1/3*((1.13420686227572+0.136783049036052*C29)*0.0000000001-1.032*0.0000000001)^3))))</f>
        <v>1.6815921171083434</v>
      </c>
      <c r="D58" s="43">
        <f t="shared" ref="D58:AE58" si="60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-1.032*0.0000000001)^2)-(1/3*((1.13420686227572+0.136783049036052*D29)*0.0000000001-1.032*0.0000000001)^3))))</f>
        <v>2.4510939566894798</v>
      </c>
      <c r="E58" s="43">
        <f t="shared" si="60"/>
        <v>6.1685077779886104</v>
      </c>
      <c r="F58" s="43">
        <f t="shared" si="60"/>
        <v>1.8212696775910142</v>
      </c>
      <c r="G58" s="43">
        <f t="shared" si="60"/>
        <v>2.5457509678537966</v>
      </c>
      <c r="H58" s="43">
        <f t="shared" si="60"/>
        <v>1.1800742234149291</v>
      </c>
      <c r="I58" s="43">
        <f t="shared" si="60"/>
        <v>2.0903492153034531</v>
      </c>
      <c r="J58" s="43">
        <f t="shared" si="60"/>
        <v>5.0303108392813529</v>
      </c>
      <c r="K58" s="43">
        <f t="shared" si="60"/>
        <v>5.1110903931938125</v>
      </c>
      <c r="L58" s="43">
        <f t="shared" si="60"/>
        <v>2.1578539905639511</v>
      </c>
      <c r="M58" s="43">
        <f t="shared" si="60"/>
        <v>2.1554493341231602</v>
      </c>
      <c r="N58" s="43">
        <f t="shared" si="60"/>
        <v>2.4043206812342262</v>
      </c>
      <c r="O58" s="43">
        <f t="shared" si="60"/>
        <v>2.4706795452056944</v>
      </c>
      <c r="P58" s="43">
        <f t="shared" si="60"/>
        <v>1.4842609201356296</v>
      </c>
      <c r="Q58" s="43">
        <f t="shared" si="60"/>
        <v>0.91689090434885812</v>
      </c>
      <c r="R58" s="43">
        <f t="shared" si="60"/>
        <v>0.2992506028092034</v>
      </c>
      <c r="S58" s="43">
        <f t="shared" si="60"/>
        <v>1.1630214980936029</v>
      </c>
      <c r="T58" s="43">
        <f t="shared" si="60"/>
        <v>0.82786664117188402</v>
      </c>
      <c r="U58" s="43">
        <f t="shared" si="60"/>
        <v>0.39913908701167267</v>
      </c>
      <c r="V58" s="43">
        <f t="shared" si="60"/>
        <v>1.8260733874384971</v>
      </c>
      <c r="W58" s="43">
        <f t="shared" si="60"/>
        <v>0.93329443100940612</v>
      </c>
      <c r="X58" s="43">
        <f t="shared" si="60"/>
        <v>0.65319034681786015</v>
      </c>
      <c r="Y58" s="43">
        <f t="shared" si="60"/>
        <v>0.7640888861894507</v>
      </c>
      <c r="Z58" s="43">
        <f t="shared" si="60"/>
        <v>0.68660697967082529</v>
      </c>
      <c r="AA58" s="43">
        <f t="shared" si="60"/>
        <v>0.99252748327002216</v>
      </c>
      <c r="AB58" s="43">
        <f t="shared" si="60"/>
        <v>6.5260043398069696</v>
      </c>
      <c r="AC58" s="43">
        <f t="shared" si="60"/>
        <v>1.5325262819489112</v>
      </c>
      <c r="AD58" s="43">
        <f t="shared" si="60"/>
        <v>0.71971401757829689</v>
      </c>
      <c r="AE58" s="43">
        <f t="shared" si="60"/>
        <v>51.570028300714306</v>
      </c>
    </row>
    <row r="59" spans="1:31" x14ac:dyDescent="0.2"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spans="1:31" x14ac:dyDescent="0.2">
      <c r="A60" s="52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spans="1:31" x14ac:dyDescent="0.2"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1:31" x14ac:dyDescent="0.2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1:31" x14ac:dyDescent="0.2">
      <c r="A63" s="47" t="s">
        <v>104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spans="1:31" x14ac:dyDescent="0.2">
      <c r="A64" s="46" t="s">
        <v>101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spans="1:28" x14ac:dyDescent="0.2">
      <c r="A65" s="46" t="s">
        <v>102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1:28" x14ac:dyDescent="0.2">
      <c r="A66" s="46" t="s">
        <v>116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spans="1:28" x14ac:dyDescent="0.2">
      <c r="A67" s="46" t="s">
        <v>103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spans="1:28" x14ac:dyDescent="0.2">
      <c r="A68" s="46" t="s">
        <v>119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spans="1:28" x14ac:dyDescent="0.2"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spans="1:28" x14ac:dyDescent="0.2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spans="1:28" x14ac:dyDescent="0.2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spans="1:28" x14ac:dyDescent="0.2">
      <c r="B72" s="34"/>
    </row>
    <row r="73" spans="1:28" x14ac:dyDescent="0.2">
      <c r="B73" s="34"/>
    </row>
    <row r="74" spans="1:28" x14ac:dyDescent="0.2">
      <c r="B74" s="34"/>
    </row>
    <row r="75" spans="1:28" x14ac:dyDescent="0.2">
      <c r="B75" s="34"/>
    </row>
    <row r="76" spans="1:28" x14ac:dyDescent="0.2">
      <c r="B76" s="34"/>
    </row>
    <row r="77" spans="1:28" x14ac:dyDescent="0.2">
      <c r="B77" s="34"/>
    </row>
    <row r="78" spans="1:28" x14ac:dyDescent="0.2">
      <c r="B78" s="34"/>
    </row>
    <row r="79" spans="1:28" x14ac:dyDescent="0.2">
      <c r="B79" s="34"/>
    </row>
    <row r="80" spans="1:28" x14ac:dyDescent="0.2">
      <c r="B80" s="34"/>
    </row>
    <row r="81" spans="2:2" x14ac:dyDescent="0.2">
      <c r="B81" s="34"/>
    </row>
    <row r="82" spans="2:2" x14ac:dyDescent="0.2">
      <c r="B82" s="34"/>
    </row>
    <row r="83" spans="2:2" x14ac:dyDescent="0.2">
      <c r="B83" s="34"/>
    </row>
    <row r="84" spans="2:2" x14ac:dyDescent="0.2">
      <c r="B84" s="34"/>
    </row>
    <row r="85" spans="2:2" x14ac:dyDescent="0.2">
      <c r="B85" s="34"/>
    </row>
    <row r="86" spans="2:2" x14ac:dyDescent="0.2">
      <c r="B86" s="34"/>
    </row>
    <row r="87" spans="2:2" x14ac:dyDescent="0.2">
      <c r="B87" s="34"/>
    </row>
    <row r="88" spans="2:2" x14ac:dyDescent="0.2">
      <c r="B88" s="34"/>
    </row>
    <row r="89" spans="2:2" x14ac:dyDescent="0.2">
      <c r="B89" s="34"/>
    </row>
    <row r="90" spans="2:2" x14ac:dyDescent="0.2">
      <c r="B90" s="34"/>
    </row>
    <row r="91" spans="2:2" x14ac:dyDescent="0.2">
      <c r="B91" s="34"/>
    </row>
    <row r="92" spans="2:2" x14ac:dyDescent="0.2">
      <c r="B92" s="34"/>
    </row>
    <row r="93" spans="2:2" x14ac:dyDescent="0.2">
      <c r="B93" s="34"/>
    </row>
    <row r="94" spans="2:2" x14ac:dyDescent="0.2">
      <c r="B94" s="34"/>
    </row>
    <row r="95" spans="2:2" x14ac:dyDescent="0.2">
      <c r="B95" s="34"/>
    </row>
    <row r="96" spans="2:2" x14ac:dyDescent="0.2">
      <c r="B96" s="34"/>
    </row>
    <row r="97" spans="2:2" x14ac:dyDescent="0.2">
      <c r="B97" s="34"/>
    </row>
  </sheetData>
  <mergeCells count="4">
    <mergeCell ref="B2:K2"/>
    <mergeCell ref="L2:O2"/>
    <mergeCell ref="P2:X2"/>
    <mergeCell ref="AC2:AD2"/>
  </mergeCells>
  <conditionalFormatting sqref="A4:A14 A16:A18">
    <cfRule type="cellIs" dxfId="2" priority="4" stopIfTrue="1" operator="lessThan">
      <formula>0</formula>
    </cfRule>
  </conditionalFormatting>
  <conditionalFormatting sqref="A22:A32 A34:A35">
    <cfRule type="cellIs" dxfId="1" priority="1" stopIfTrue="1" operator="lessThan">
      <formula>0</formula>
    </cfRule>
  </conditionalFormatting>
  <conditionalFormatting sqref="B22:AE35">
    <cfRule type="cellIs" dxfId="0" priority="2" stopIfTrue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Apatite_Kd_Calculator</vt:lpstr>
      <vt:lpstr>Multiple_Kd_Calculator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 Ji</cp:lastModifiedBy>
  <dcterms:created xsi:type="dcterms:W3CDTF">2023-04-18T13:53:24Z</dcterms:created>
  <dcterms:modified xsi:type="dcterms:W3CDTF">2025-02-26T22:18:28Z</dcterms:modified>
</cp:coreProperties>
</file>