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ji/Desktop/"/>
    </mc:Choice>
  </mc:AlternateContent>
  <xr:revisionPtr revIDLastSave="0" documentId="8_{674924CC-2543-0544-91A8-4C2ECD518AB7}" xr6:coauthVersionLast="47" xr6:coauthVersionMax="47" xr10:uidLastSave="{00000000-0000-0000-0000-000000000000}"/>
  <bookViews>
    <workbookView xWindow="0" yWindow="500" windowWidth="28800" windowHeight="16440" xr2:uid="{E6C10F45-B446-D346-AD47-2F6A1762E94A}"/>
  </bookViews>
  <sheets>
    <sheet name="Instructions" sheetId="2" r:id="rId1"/>
    <sheet name="Apatite_Kd_Calculator" sheetId="1" r:id="rId2"/>
    <sheet name="Multiple_Kd_Calculator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3" i="3" l="1"/>
  <c r="AE34" i="3"/>
  <c r="AE35" i="3"/>
  <c r="AD33" i="3"/>
  <c r="AD34" i="3"/>
  <c r="AD35" i="3"/>
  <c r="AC33" i="3"/>
  <c r="AC34" i="3"/>
  <c r="AC35" i="3"/>
  <c r="AB33" i="3"/>
  <c r="AB34" i="3"/>
  <c r="AB35" i="3"/>
  <c r="AA33" i="3"/>
  <c r="AA34" i="3"/>
  <c r="AA35" i="3"/>
  <c r="Z33" i="3"/>
  <c r="Z34" i="3"/>
  <c r="Z35" i="3"/>
  <c r="Y33" i="3"/>
  <c r="Y34" i="3"/>
  <c r="Y35" i="3"/>
  <c r="X33" i="3"/>
  <c r="X34" i="3"/>
  <c r="X35" i="3"/>
  <c r="W33" i="3"/>
  <c r="W34" i="3"/>
  <c r="W35" i="3"/>
  <c r="V33" i="3"/>
  <c r="V34" i="3"/>
  <c r="V35" i="3"/>
  <c r="U33" i="3"/>
  <c r="U34" i="3"/>
  <c r="U35" i="3"/>
  <c r="T33" i="3"/>
  <c r="T34" i="3"/>
  <c r="T35" i="3"/>
  <c r="S33" i="3"/>
  <c r="S34" i="3"/>
  <c r="S35" i="3"/>
  <c r="R33" i="3"/>
  <c r="R34" i="3"/>
  <c r="R35" i="3"/>
  <c r="Q33" i="3"/>
  <c r="Q34" i="3"/>
  <c r="Q35" i="3"/>
  <c r="P33" i="3"/>
  <c r="P34" i="3"/>
  <c r="P35" i="3"/>
  <c r="O33" i="3"/>
  <c r="O34" i="3"/>
  <c r="O35" i="3"/>
  <c r="N33" i="3"/>
  <c r="N34" i="3"/>
  <c r="N35" i="3"/>
  <c r="M33" i="3"/>
  <c r="M34" i="3"/>
  <c r="M35" i="3"/>
  <c r="L33" i="3"/>
  <c r="L34" i="3"/>
  <c r="L35" i="3"/>
  <c r="K33" i="3"/>
  <c r="K34" i="3"/>
  <c r="K35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F22" i="3"/>
  <c r="G22" i="3"/>
  <c r="H22" i="3"/>
  <c r="I22" i="3"/>
  <c r="J22" i="3"/>
  <c r="F23" i="3"/>
  <c r="G23" i="3"/>
  <c r="H23" i="3"/>
  <c r="I23" i="3"/>
  <c r="J23" i="3"/>
  <c r="F24" i="3"/>
  <c r="G24" i="3"/>
  <c r="H24" i="3"/>
  <c r="I24" i="3"/>
  <c r="J24" i="3"/>
  <c r="F25" i="3"/>
  <c r="G25" i="3"/>
  <c r="H25" i="3"/>
  <c r="I25" i="3"/>
  <c r="J25" i="3"/>
  <c r="F26" i="3"/>
  <c r="G26" i="3"/>
  <c r="H26" i="3"/>
  <c r="I26" i="3"/>
  <c r="J26" i="3"/>
  <c r="F27" i="3"/>
  <c r="G27" i="3"/>
  <c r="H27" i="3"/>
  <c r="I27" i="3"/>
  <c r="J27" i="3"/>
  <c r="F28" i="3"/>
  <c r="G28" i="3"/>
  <c r="H28" i="3"/>
  <c r="I28" i="3"/>
  <c r="J28" i="3"/>
  <c r="F29" i="3"/>
  <c r="G29" i="3"/>
  <c r="H29" i="3"/>
  <c r="I29" i="3"/>
  <c r="J29" i="3"/>
  <c r="F30" i="3"/>
  <c r="G30" i="3"/>
  <c r="H30" i="3"/>
  <c r="I30" i="3"/>
  <c r="J30" i="3"/>
  <c r="F31" i="3"/>
  <c r="G31" i="3"/>
  <c r="H31" i="3"/>
  <c r="I31" i="3"/>
  <c r="J31" i="3"/>
  <c r="F32" i="3"/>
  <c r="G32" i="3"/>
  <c r="H32" i="3"/>
  <c r="I32" i="3"/>
  <c r="J32" i="3"/>
  <c r="F33" i="3"/>
  <c r="G33" i="3"/>
  <c r="H33" i="3"/>
  <c r="I33" i="3"/>
  <c r="J33" i="3"/>
  <c r="F34" i="3"/>
  <c r="G34" i="3"/>
  <c r="H34" i="3"/>
  <c r="I34" i="3"/>
  <c r="J34" i="3"/>
  <c r="F35" i="3"/>
  <c r="G35" i="3"/>
  <c r="H35" i="3"/>
  <c r="I35" i="3"/>
  <c r="J35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8" i="1"/>
  <c r="C8" i="1"/>
  <c r="D8" i="1"/>
  <c r="E8" i="1"/>
  <c r="F8" i="1"/>
  <c r="G8" i="1"/>
  <c r="H8" i="1"/>
  <c r="I8" i="1"/>
  <c r="J8" i="1"/>
  <c r="K8" i="1"/>
  <c r="L8" i="1"/>
  <c r="M8" i="1"/>
  <c r="N8" i="1"/>
  <c r="P8" i="1"/>
  <c r="Q8" i="1"/>
  <c r="B9" i="1"/>
  <c r="K10" i="1"/>
  <c r="B17" i="1"/>
  <c r="B10" i="1"/>
  <c r="B16" i="1"/>
  <c r="H10" i="1"/>
  <c r="B15" i="1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B42" i="3"/>
  <c r="B41" i="3"/>
  <c r="B40" i="3"/>
  <c r="B39" i="3"/>
  <c r="B38" i="3"/>
  <c r="B19" i="1"/>
  <c r="B20" i="1"/>
  <c r="B44" i="3"/>
  <c r="I10" i="1"/>
  <c r="B21" i="1"/>
  <c r="AE58" i="3"/>
  <c r="AD58" i="3"/>
  <c r="AC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AE57" i="3"/>
  <c r="AD57" i="3"/>
  <c r="AC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AE56" i="3"/>
  <c r="AD56" i="3"/>
  <c r="AC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E55" i="3"/>
  <c r="AD55" i="3"/>
  <c r="AC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E54" i="3"/>
  <c r="AD54" i="3"/>
  <c r="AC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E53" i="3"/>
  <c r="AD53" i="3"/>
  <c r="AC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E52" i="3"/>
  <c r="AD52" i="3"/>
  <c r="AC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E51" i="3"/>
  <c r="AD51" i="3"/>
  <c r="AC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E50" i="3"/>
  <c r="AD50" i="3"/>
  <c r="AC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E49" i="3"/>
  <c r="AD49" i="3"/>
  <c r="AC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E48" i="3"/>
  <c r="AD48" i="3"/>
  <c r="AC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AE47" i="3"/>
  <c r="AD47" i="3"/>
  <c r="AC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E46" i="3"/>
  <c r="AD46" i="3"/>
  <c r="AC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E45" i="3"/>
  <c r="AD45" i="3"/>
  <c r="AC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E44" i="3"/>
  <c r="AD44" i="3"/>
  <c r="AC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AE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7" i="3"/>
  <c r="P7" i="1"/>
  <c r="AB56" i="3"/>
  <c r="AB54" i="3"/>
  <c r="AB50" i="3"/>
  <c r="AB46" i="3"/>
  <c r="AB44" i="3"/>
  <c r="AB49" i="3"/>
  <c r="AB47" i="3"/>
  <c r="AB53" i="3"/>
  <c r="AB58" i="3"/>
  <c r="AB52" i="3"/>
  <c r="AB48" i="3"/>
  <c r="AB51" i="3"/>
  <c r="AB45" i="3"/>
  <c r="AB55" i="3"/>
  <c r="AB57" i="3"/>
  <c r="C10" i="1"/>
  <c r="D10" i="1"/>
  <c r="F10" i="1"/>
  <c r="E10" i="1"/>
  <c r="G10" i="1"/>
  <c r="L10" i="1"/>
  <c r="J10" i="1"/>
  <c r="M10" i="1"/>
  <c r="N10" i="1"/>
  <c r="B30" i="1"/>
  <c r="O10" i="1"/>
  <c r="B34" i="1"/>
  <c r="B25" i="1"/>
  <c r="B24" i="1"/>
  <c r="B38" i="1"/>
  <c r="B31" i="1"/>
  <c r="B41" i="1"/>
  <c r="B36" i="1"/>
  <c r="B35" i="1"/>
  <c r="B43" i="1"/>
  <c r="B32" i="1"/>
  <c r="B42" i="1"/>
  <c r="B44" i="1"/>
  <c r="B40" i="1"/>
  <c r="B39" i="1"/>
  <c r="B33" i="1"/>
  <c r="B37" i="1"/>
  <c r="B27" i="1"/>
  <c r="B28" i="1"/>
  <c r="B26" i="1"/>
</calcChain>
</file>

<file path=xl/sharedStrings.xml><?xml version="1.0" encoding="utf-8"?>
<sst xmlns="http://schemas.openxmlformats.org/spreadsheetml/2006/main" count="181" uniqueCount="129">
  <si>
    <t>FeO</t>
  </si>
  <si>
    <t>MnO</t>
  </si>
  <si>
    <t>MgO</t>
  </si>
  <si>
    <t>CaO</t>
  </si>
  <si>
    <t>F</t>
    <phoneticPr fontId="0" type="noConversion"/>
  </si>
  <si>
    <t>Cl</t>
    <phoneticPr fontId="0" type="noConversion"/>
  </si>
  <si>
    <t>OH</t>
    <phoneticPr fontId="0" type="noConversion"/>
  </si>
  <si>
    <t>Number of ions in formula</t>
  </si>
  <si>
    <t>Sum</t>
  </si>
  <si>
    <t>INPUT APATITE COMPOSITION (wt.%)</t>
  </si>
  <si>
    <t>2. Lattice strain parameters calculation</t>
  </si>
  <si>
    <t>INPUT TEMPERATURE (ºC)</t>
  </si>
  <si>
    <t>3. Trace element partition coefficients calculation</t>
  </si>
  <si>
    <t>Mg</t>
  </si>
  <si>
    <t>Zn</t>
  </si>
  <si>
    <t>Ca</t>
  </si>
  <si>
    <t>Sr</t>
  </si>
  <si>
    <t>La</t>
  </si>
  <si>
    <t>Ce</t>
  </si>
  <si>
    <t>Pr</t>
  </si>
  <si>
    <t>Nd</t>
    <phoneticPr fontId="0" type="noConversion"/>
  </si>
  <si>
    <t>Sm</t>
  </si>
  <si>
    <t>Gd</t>
  </si>
  <si>
    <t>Tb</t>
    <phoneticPr fontId="0" type="noConversion"/>
  </si>
  <si>
    <t>Dy</t>
    <phoneticPr fontId="0" type="noConversion"/>
  </si>
  <si>
    <t>Y</t>
    <phoneticPr fontId="0" type="noConversion"/>
  </si>
  <si>
    <t>Ho</t>
    <phoneticPr fontId="0" type="noConversion"/>
  </si>
  <si>
    <t>Er</t>
    <phoneticPr fontId="0" type="noConversion"/>
  </si>
  <si>
    <t>Tm</t>
    <phoneticPr fontId="0" type="noConversion"/>
  </si>
  <si>
    <t>Yb</t>
    <phoneticPr fontId="0" type="noConversion"/>
  </si>
  <si>
    <t>Lu</t>
  </si>
  <si>
    <r>
      <t>Eu</t>
    </r>
    <r>
      <rPr>
        <vertAlign val="superscript"/>
        <sz val="11"/>
        <color rgb="FF000000"/>
        <rFont val="Times New Roman"/>
        <family val="1"/>
      </rPr>
      <t>2+</t>
    </r>
  </si>
  <si>
    <t>Divalent elements</t>
  </si>
  <si>
    <t>Trivalent elements</t>
  </si>
  <si>
    <r>
      <t>Eu</t>
    </r>
    <r>
      <rPr>
        <vertAlign val="superscript"/>
        <sz val="11"/>
        <color theme="1"/>
        <rFont val="Times New Roman"/>
        <family val="1"/>
      </rPr>
      <t>3+</t>
    </r>
  </si>
  <si>
    <t>Molecular weight</t>
  </si>
  <si>
    <t>Mole fraction of anions</t>
  </si>
  <si>
    <t>Corrected sum</t>
  </si>
  <si>
    <r>
      <t>lnDo</t>
    </r>
    <r>
      <rPr>
        <vertAlign val="superscript"/>
        <sz val="11"/>
        <color rgb="FF000000"/>
        <rFont val="Times New Roman"/>
        <family val="1"/>
      </rPr>
      <t>3+</t>
    </r>
  </si>
  <si>
    <r>
      <t>ro</t>
    </r>
    <r>
      <rPr>
        <vertAlign val="superscript"/>
        <sz val="11"/>
        <color rgb="FF000000"/>
        <rFont val="Times New Roman"/>
        <family val="1"/>
      </rPr>
      <t>3+</t>
    </r>
    <r>
      <rPr>
        <sz val="11"/>
        <color indexed="8"/>
        <rFont val="Times New Roman"/>
        <family val="1"/>
      </rPr>
      <t xml:space="preserve"> (Å)</t>
    </r>
  </si>
  <si>
    <r>
      <t>E</t>
    </r>
    <r>
      <rPr>
        <vertAlign val="superscript"/>
        <sz val="11"/>
        <color rgb="FF000000"/>
        <rFont val="Times New Roman"/>
        <family val="1"/>
      </rPr>
      <t>3+</t>
    </r>
    <r>
      <rPr>
        <sz val="11"/>
        <color indexed="8"/>
        <rFont val="Times New Roman"/>
        <family val="1"/>
      </rPr>
      <t xml:space="preserve"> (Gpa)</t>
    </r>
  </si>
  <si>
    <r>
      <t>E</t>
    </r>
    <r>
      <rPr>
        <vertAlign val="superscript"/>
        <sz val="11"/>
        <color rgb="FF000000"/>
        <rFont val="Times New Roman"/>
        <family val="1"/>
      </rPr>
      <t>2+</t>
    </r>
    <r>
      <rPr>
        <sz val="11"/>
        <color indexed="8"/>
        <rFont val="Times New Roman"/>
        <family val="1"/>
      </rPr>
      <t xml:space="preserve"> (Gpa)</t>
    </r>
  </si>
  <si>
    <r>
      <t>ro</t>
    </r>
    <r>
      <rPr>
        <vertAlign val="superscript"/>
        <sz val="11"/>
        <color rgb="FF000000"/>
        <rFont val="Times New Roman"/>
        <family val="1"/>
      </rPr>
      <t>2+</t>
    </r>
    <r>
      <rPr>
        <sz val="11"/>
        <color indexed="8"/>
        <rFont val="Times New Roman"/>
        <family val="1"/>
      </rPr>
      <t xml:space="preserve"> (Å)</t>
    </r>
  </si>
  <si>
    <r>
      <t>lnDo</t>
    </r>
    <r>
      <rPr>
        <vertAlign val="superscript"/>
        <sz val="11"/>
        <color rgb="FF000000"/>
        <rFont val="Times New Roman"/>
        <family val="1"/>
      </rPr>
      <t>2+</t>
    </r>
  </si>
  <si>
    <r>
      <t>1. Apatite formula calculation (Ca</t>
    </r>
    <r>
      <rPr>
        <b/>
        <vertAlign val="subscript"/>
        <sz val="14"/>
        <color rgb="FF000000"/>
        <rFont val="Times New Roman"/>
        <family val="1"/>
      </rPr>
      <t>10</t>
    </r>
    <r>
      <rPr>
        <b/>
        <sz val="14"/>
        <color indexed="8"/>
        <rFont val="Times New Roman"/>
        <family val="1"/>
      </rPr>
      <t>(PO</t>
    </r>
    <r>
      <rPr>
        <b/>
        <vertAlign val="subscript"/>
        <sz val="14"/>
        <color rgb="FF000000"/>
        <rFont val="Times New Roman"/>
        <family val="1"/>
      </rPr>
      <t>4</t>
    </r>
    <r>
      <rPr>
        <b/>
        <sz val="14"/>
        <color indexed="8"/>
        <rFont val="Times New Roman"/>
        <family val="1"/>
      </rPr>
      <t>)</t>
    </r>
    <r>
      <rPr>
        <b/>
        <vertAlign val="subscript"/>
        <sz val="14"/>
        <color rgb="FF000000"/>
        <rFont val="Times New Roman"/>
        <family val="1"/>
      </rPr>
      <t>6</t>
    </r>
    <r>
      <rPr>
        <b/>
        <sz val="14"/>
        <color indexed="8"/>
        <rFont val="Times New Roman"/>
        <family val="1"/>
      </rPr>
      <t>(F,Cl,OH)</t>
    </r>
    <r>
      <rPr>
        <b/>
        <vertAlign val="subscript"/>
        <sz val="14"/>
        <color rgb="FF000000"/>
        <rFont val="Times New Roman"/>
        <family val="1"/>
      </rPr>
      <t>2</t>
    </r>
    <r>
      <rPr>
        <b/>
        <sz val="14"/>
        <color indexed="8"/>
        <rFont val="Times New Roman"/>
        <family val="1"/>
      </rPr>
      <t>)</t>
    </r>
  </si>
  <si>
    <t>Anion normalization factor (see Ketchem, 2015)</t>
  </si>
  <si>
    <t>Number of anions</t>
  </si>
  <si>
    <t>Number of cations</t>
  </si>
  <si>
    <t>IX-fold coordinated ionic radius (Å)</t>
  </si>
  <si>
    <t>Authors: Dian Ji and Nicholas Dygert</t>
  </si>
  <si>
    <t>Instructions</t>
  </si>
  <si>
    <r>
      <t>SiO</t>
    </r>
    <r>
      <rPr>
        <vertAlign val="subscript"/>
        <sz val="11"/>
        <rFont val="Times New Roman"/>
        <family val="1"/>
      </rPr>
      <t>2</t>
    </r>
  </si>
  <si>
    <r>
      <t>TiO</t>
    </r>
    <r>
      <rPr>
        <vertAlign val="subscript"/>
        <sz val="11"/>
        <rFont val="Times New Roman"/>
        <family val="1"/>
      </rPr>
      <t>2</t>
    </r>
  </si>
  <si>
    <r>
      <t>Al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3</t>
    </r>
  </si>
  <si>
    <r>
      <t>Na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O</t>
    </r>
  </si>
  <si>
    <r>
      <t>K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O</t>
    </r>
  </si>
  <si>
    <r>
      <t>P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5</t>
    </r>
  </si>
  <si>
    <r>
      <t>Cr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3</t>
    </r>
  </si>
  <si>
    <t>Si</t>
  </si>
  <si>
    <t>Ti</t>
  </si>
  <si>
    <t>Al</t>
  </si>
  <si>
    <t>Fe</t>
  </si>
  <si>
    <t>Mn</t>
  </si>
  <si>
    <t>Na</t>
  </si>
  <si>
    <t>K</t>
  </si>
  <si>
    <t>P</t>
  </si>
  <si>
    <t>Cr</t>
  </si>
  <si>
    <r>
      <t>SiO</t>
    </r>
    <r>
      <rPr>
        <vertAlign val="subscript"/>
        <sz val="12"/>
        <rFont val="Times New Roman"/>
        <family val="1"/>
      </rPr>
      <t>2</t>
    </r>
  </si>
  <si>
    <r>
      <t>TiO</t>
    </r>
    <r>
      <rPr>
        <vertAlign val="subscript"/>
        <sz val="12"/>
        <rFont val="Times New Roman"/>
        <family val="1"/>
      </rPr>
      <t>2</t>
    </r>
  </si>
  <si>
    <r>
      <t>Al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3</t>
    </r>
  </si>
  <si>
    <r>
      <t>Na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</si>
  <si>
    <r>
      <t>K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</si>
  <si>
    <r>
      <t>P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5</t>
    </r>
  </si>
  <si>
    <r>
      <t>Cr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3</t>
    </r>
  </si>
  <si>
    <t>2. OUTPUT APATITE FORMULAS</t>
  </si>
  <si>
    <t>3. OUTPUT PARTITION COEFFICIENTS</t>
  </si>
  <si>
    <t>Temperature  (ºC)</t>
  </si>
  <si>
    <t>2. Go to the sheet "Multiple_Kd_Calculator" if you have several apatites to calculate.</t>
  </si>
  <si>
    <r>
      <t>Eu</t>
    </r>
    <r>
      <rPr>
        <vertAlign val="superscript"/>
        <sz val="12"/>
        <color rgb="FF000000"/>
        <rFont val="Times New Roman"/>
        <family val="1"/>
      </rPr>
      <t>2+</t>
    </r>
  </si>
  <si>
    <r>
      <t>Eu</t>
    </r>
    <r>
      <rPr>
        <vertAlign val="superscript"/>
        <sz val="12"/>
        <color theme="1"/>
        <rFont val="Times New Roman"/>
        <family val="1"/>
      </rPr>
      <t>3+</t>
    </r>
  </si>
  <si>
    <t>Sample name</t>
  </si>
  <si>
    <t>Ketcham, R.A., 2015. Calculation of stoichiometry from EMP data for apatite and other phases with mixing on monovalent anion sites. American Mineralogist 100, 1620-1623.</t>
  </si>
  <si>
    <t>Reference</t>
  </si>
  <si>
    <t>61B</t>
  </si>
  <si>
    <t>71A</t>
  </si>
  <si>
    <t>61A</t>
  </si>
  <si>
    <t>48B</t>
  </si>
  <si>
    <t>59B</t>
  </si>
  <si>
    <t>54A</t>
  </si>
  <si>
    <t>811-b</t>
  </si>
  <si>
    <t>818-b</t>
  </si>
  <si>
    <t xml:space="preserve">OHAp-1 </t>
  </si>
  <si>
    <t>ClAp-1</t>
  </si>
  <si>
    <t xml:space="preserve">FlAp-1 </t>
  </si>
  <si>
    <t>OHAp-6</t>
  </si>
  <si>
    <t>ClAp-2</t>
  </si>
  <si>
    <t>OHAp-5</t>
  </si>
  <si>
    <t xml:space="preserve">ClAp-3 </t>
  </si>
  <si>
    <t>Erebus apatitie</t>
  </si>
  <si>
    <t>Ref.</t>
  </si>
  <si>
    <t>This Study</t>
  </si>
  <si>
    <t>Li, W., Costa, F., Oppenheimer, C., Nagashima, K., 2023. Volatile and trace element partitioning between apatite and alkaline melts. Contributions to Mineralogy and Petrology 178, 9.</t>
  </si>
  <si>
    <t>Prowatke, S., Klemme, S., 2006. Trace element partitioning between apatite and silicate melts. Geochim. Cosmochim. Acta 70, 4513-4527.</t>
  </si>
  <si>
    <t>Watson, E.B., Green, T.H., 1981. Apatite/liquid partition coefficients for the rare earth elements and strontium. Earth and Planetary Science Letters 56, 405-421.</t>
  </si>
  <si>
    <t>References:</t>
  </si>
  <si>
    <t>Prowatke et al. (2006)</t>
  </si>
  <si>
    <t>Watson and Green (1981)</t>
  </si>
  <si>
    <t>Li et al. (2023)</t>
  </si>
  <si>
    <t>Tailby et al. (2023)</t>
  </si>
  <si>
    <t>ApREE-09</t>
  </si>
  <si>
    <t>ApREE-12 (CCOCO2)</t>
  </si>
  <si>
    <t>FlAp-9</t>
  </si>
  <si>
    <t>FlAp-8</t>
  </si>
  <si>
    <t>FlAp-7</t>
  </si>
  <si>
    <t>OHAp-7</t>
  </si>
  <si>
    <t>ClAp-5</t>
  </si>
  <si>
    <t>Tailby, N.D., Trail, D., Watson, B., Lanzirotti, A., Newville, M., Wang, Y., 2023. Eu speciation in apatite at 1 bar: An experimental study of valence-state partitioning by XANES, lattice strain, and Eu/Eu* in basaltic systems. American Mineralogist 108, 789-813.</t>
  </si>
  <si>
    <t>1. Go to the sheet "Apatite_Kd_Calculator" for details about partition coefficient calculation.</t>
  </si>
  <si>
    <t>Sun, C.G., Graff, M., Liang, Y., 2017. Trace element partitioning between plagioclase and silicate melt: The importance of temperature and plagioclase composition, with implications for terrestrial and lunar magmatism. Geochimica et Cosmochimica Acta 206, 273-295.</t>
  </si>
  <si>
    <t>Stepanov, A.S., Zhukova, I.A., Jiang, S.-Y., 2023. Experimental constraints on miscibility gap between apatite and britholite and REE partitioning in an alkaline melt. American Mineralogist 108, 1043-1052.</t>
  </si>
  <si>
    <t>Stepanov et al. (2023)</t>
  </si>
  <si>
    <t>Apatite</t>
  </si>
  <si>
    <t>E-mail: dj56@rice.edu</t>
  </si>
  <si>
    <t>Supplement to: Trace element partitioning between apatite and silicate melts: Effects of major element composition, temperature, and oxygen fugacity, and implications for the volatile element budget of the lunar magma ocean</t>
  </si>
  <si>
    <t>1. INPUT APATITE CONCENTRATIONS AND TEMPERATURES</t>
  </si>
  <si>
    <r>
      <t xml:space="preserve">3. Input the required data for the part </t>
    </r>
    <r>
      <rPr>
        <b/>
        <sz val="16"/>
        <rFont val="Times New Roman"/>
        <family val="1"/>
      </rPr>
      <t>filled with green</t>
    </r>
    <r>
      <rPr>
        <sz val="16"/>
        <color theme="1"/>
        <rFont val="Times New Roman"/>
        <family val="1"/>
      </rPr>
      <t>.</t>
    </r>
  </si>
  <si>
    <t>5. The plagioclase trace element predictive models are from Sun et al. (2017).</t>
  </si>
  <si>
    <t>6. Details about apatite formula calculation can be found in Ketcham (2015).</t>
  </si>
  <si>
    <t>4. The formula of mineral, trace element partition coefficients will be updated automatically.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</si>
</sst>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&quot; &quot;;\(0.000\)"/>
    <numFmt numFmtId="165" formatCode="0.000"/>
    <numFmt numFmtId="166" formatCode="0.00&quot; &quot;;\(0.00\)"/>
    <numFmt numFmtId="167" formatCode="0.00_);\(0.00\)"/>
    <numFmt numFmtId="168" formatCode="0.00000000000000_);\(0.00000000000000\)"/>
  </numFmts>
  <fonts count="23" x14ac:knownFonts="1">
    <font>
      <sz val="12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</font>
    <font>
      <vertAlign val="superscript"/>
      <sz val="11"/>
      <color rgb="FF000000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</font>
    <font>
      <b/>
      <vertAlign val="subscript"/>
      <sz val="14"/>
      <color rgb="FF000000"/>
      <name val="Times New Roman"/>
      <family val="1"/>
    </font>
    <font>
      <vertAlign val="subscript"/>
      <sz val="1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vertAlign val="subscript"/>
      <sz val="12"/>
      <name val="Times New Roman"/>
      <family val="1"/>
    </font>
    <font>
      <b/>
      <sz val="12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4" borderId="0" xfId="0" applyFont="1" applyFill="1" applyAlignment="1">
      <alignment horizontal="center" vertical="center"/>
    </xf>
    <xf numFmtId="167" fontId="11" fillId="4" borderId="0" xfId="0" applyNumberFormat="1" applyFont="1" applyFill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167" fontId="15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0" fontId="15" fillId="4" borderId="0" xfId="0" applyFont="1" applyFill="1" applyAlignment="1">
      <alignment horizontal="center"/>
    </xf>
    <xf numFmtId="49" fontId="15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2" fontId="18" fillId="0" borderId="0" xfId="0" quotePrefix="1" applyNumberFormat="1" applyFont="1" applyAlignment="1">
      <alignment horizontal="center" vertical="center"/>
    </xf>
    <xf numFmtId="0" fontId="21" fillId="0" borderId="0" xfId="0" applyFont="1"/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2" fontId="5" fillId="4" borderId="0" xfId="0" applyNumberFormat="1" applyFont="1" applyFill="1" applyAlignment="1">
      <alignment horizontal="center"/>
    </xf>
    <xf numFmtId="2" fontId="5" fillId="4" borderId="0" xfId="0" applyNumberFormat="1" applyFont="1" applyFill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2" fontId="1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CCC2"/>
      <color rgb="FF00FFF2"/>
      <color rgb="FFDC55FF"/>
      <color rgb="FFD454FD"/>
      <color rgb="FFBF4C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Onuma diagram showing apatite-melt partition coefficients as a function of ionic radius for divalent and trivalent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Divalent element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Apatite_Kd_Calculator!$V$24:$V$28</c:f>
              <c:numCache>
                <c:formatCode>0.000</c:formatCode>
                <c:ptCount val="5"/>
                <c:pt idx="0">
                  <c:v>0.9556</c:v>
                </c:pt>
                <c:pt idx="1">
                  <c:v>0.95840000000000003</c:v>
                </c:pt>
                <c:pt idx="2">
                  <c:v>1.18</c:v>
                </c:pt>
                <c:pt idx="3">
                  <c:v>1.3</c:v>
                </c:pt>
                <c:pt idx="4">
                  <c:v>1.31</c:v>
                </c:pt>
              </c:numCache>
            </c:numRef>
          </c:xVal>
          <c:yVal>
            <c:numRef>
              <c:f>Apatite_Kd_Calculator!$B$24:$B$28</c:f>
              <c:numCache>
                <c:formatCode>0.000</c:formatCode>
                <c:ptCount val="5"/>
                <c:pt idx="0">
                  <c:v>0.14262766903150201</c:v>
                </c:pt>
                <c:pt idx="1">
                  <c:v>0.15491084714116027</c:v>
                </c:pt>
                <c:pt idx="2" formatCode="0.00">
                  <c:v>6.7421706853816907</c:v>
                </c:pt>
                <c:pt idx="3" formatCode="0.00">
                  <c:v>2.909447961866956</c:v>
                </c:pt>
                <c:pt idx="4" formatCode="0.00">
                  <c:v>2.4276016583714162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5-4046-B929-99876E7A430A}"/>
            </c:ext>
          </c:extLst>
        </c:ser>
        <c:ser>
          <c:idx val="1"/>
          <c:order val="1"/>
          <c:tx>
            <c:v>Trivalent element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Apatite_Kd_Calculator!$V$30:$V$44</c:f>
              <c:numCache>
                <c:formatCode>General</c:formatCode>
                <c:ptCount val="15"/>
                <c:pt idx="0">
                  <c:v>1.216</c:v>
                </c:pt>
                <c:pt idx="1">
                  <c:v>1.196</c:v>
                </c:pt>
                <c:pt idx="2">
                  <c:v>1.179</c:v>
                </c:pt>
                <c:pt idx="3">
                  <c:v>1.163</c:v>
                </c:pt>
                <c:pt idx="4">
                  <c:v>1.1319999999999999</c:v>
                </c:pt>
                <c:pt idx="5">
                  <c:v>1.1200000000000001</c:v>
                </c:pt>
                <c:pt idx="6">
                  <c:v>1.107</c:v>
                </c:pt>
                <c:pt idx="7">
                  <c:v>1.095</c:v>
                </c:pt>
                <c:pt idx="8">
                  <c:v>1.083</c:v>
                </c:pt>
                <c:pt idx="9">
                  <c:v>1.075</c:v>
                </c:pt>
                <c:pt idx="10">
                  <c:v>1.0720000000000001</c:v>
                </c:pt>
                <c:pt idx="11">
                  <c:v>1.0620000000000001</c:v>
                </c:pt>
                <c:pt idx="12">
                  <c:v>1.052</c:v>
                </c:pt>
                <c:pt idx="13">
                  <c:v>1.042</c:v>
                </c:pt>
                <c:pt idx="14">
                  <c:v>1.032</c:v>
                </c:pt>
              </c:numCache>
            </c:numRef>
          </c:xVal>
          <c:yVal>
            <c:numRef>
              <c:f>Apatite_Kd_Calculator!$B$30:$B$44</c:f>
              <c:numCache>
                <c:formatCode>0.00</c:formatCode>
                <c:ptCount val="15"/>
                <c:pt idx="0">
                  <c:v>2.0870085490549015</c:v>
                </c:pt>
                <c:pt idx="1">
                  <c:v>2.9017607812661383</c:v>
                </c:pt>
                <c:pt idx="2">
                  <c:v>3.5580553289761854</c:v>
                </c:pt>
                <c:pt idx="3">
                  <c:v>4.0507633704990056</c:v>
                </c:pt>
                <c:pt idx="4">
                  <c:v>4.412749705015953</c:v>
                </c:pt>
                <c:pt idx="5">
                  <c:v>4.3098695439678281</c:v>
                </c:pt>
                <c:pt idx="6">
                  <c:v>4.0584172389343083</c:v>
                </c:pt>
                <c:pt idx="7">
                  <c:v>3.7214569404359645</c:v>
                </c:pt>
                <c:pt idx="8">
                  <c:v>3.3140850039203773</c:v>
                </c:pt>
                <c:pt idx="9">
                  <c:v>3.0191274938222517</c:v>
                </c:pt>
                <c:pt idx="10">
                  <c:v>2.9059984415955453</c:v>
                </c:pt>
                <c:pt idx="11">
                  <c:v>2.5266711280095948</c:v>
                </c:pt>
                <c:pt idx="12">
                  <c:v>2.1554140404435547</c:v>
                </c:pt>
                <c:pt idx="13">
                  <c:v>1.804714992696614</c:v>
                </c:pt>
                <c:pt idx="14">
                  <c:v>1.4837124937166239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45-4046-B929-99876E7A4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71072"/>
        <c:axId val="674781248"/>
      </c:scatterChart>
      <c:valAx>
        <c:axId val="674771072"/>
        <c:scaling>
          <c:orientation val="minMax"/>
          <c:max val="1.5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Ionic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radius,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Å</a:t>
                </a:r>
                <a:r>
                  <a:rPr lang="zh-CN" altLang="en-US" sz="1400"/>
                  <a:t> 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0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81248"/>
        <c:crosses val="autoZero"/>
        <c:crossBetween val="midCat"/>
      </c:valAx>
      <c:valAx>
        <c:axId val="674781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Apatite-melt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partition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coefficient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7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Apatite-silicate melt partition coefficient</a:t>
            </a:r>
            <a:r>
              <a:rPr lang="en-US" altLang="zh-CN" sz="1600"/>
              <a:t>s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Apatite-silicate melt partition coefficient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31750">
                <a:solidFill>
                  <a:srgbClr val="C00000"/>
                </a:solidFill>
              </a:ln>
              <a:effectLst/>
            </c:spPr>
          </c:marker>
          <c:cat>
            <c:strRef>
              <c:f>(Apatite_Kd_Calculator!$A$24:$A$28,Apatite_Kd_Calculator!$A$30:$A$44)</c:f>
              <c:strCache>
                <c:ptCount val="20"/>
                <c:pt idx="0">
                  <c:v>Mg</c:v>
                </c:pt>
                <c:pt idx="1">
                  <c:v>Zn</c:v>
                </c:pt>
                <c:pt idx="2">
                  <c:v>Ca</c:v>
                </c:pt>
                <c:pt idx="3">
                  <c:v>Eu2+</c:v>
                </c:pt>
                <c:pt idx="4">
                  <c:v>Sr</c:v>
                </c:pt>
                <c:pt idx="5">
                  <c:v>La</c:v>
                </c:pt>
                <c:pt idx="6">
                  <c:v>Ce</c:v>
                </c:pt>
                <c:pt idx="7">
                  <c:v>Pr</c:v>
                </c:pt>
                <c:pt idx="8">
                  <c:v>Nd</c:v>
                </c:pt>
                <c:pt idx="9">
                  <c:v>Sm</c:v>
                </c:pt>
                <c:pt idx="10">
                  <c:v>Eu3+</c:v>
                </c:pt>
                <c:pt idx="11">
                  <c:v>Gd</c:v>
                </c:pt>
                <c:pt idx="12">
                  <c:v>Tb</c:v>
                </c:pt>
                <c:pt idx="13">
                  <c:v>Dy</c:v>
                </c:pt>
                <c:pt idx="14">
                  <c:v>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</c:strCache>
            </c:strRef>
          </c:cat>
          <c:val>
            <c:numRef>
              <c:f>(Apatite_Kd_Calculator!$B$24:$B$28,Apatite_Kd_Calculator!$B$30:$B$44)</c:f>
              <c:numCache>
                <c:formatCode>0.000</c:formatCode>
                <c:ptCount val="20"/>
                <c:pt idx="0">
                  <c:v>0.14262766903150201</c:v>
                </c:pt>
                <c:pt idx="1">
                  <c:v>0.15491084714116027</c:v>
                </c:pt>
                <c:pt idx="2" formatCode="0.00">
                  <c:v>6.7421706853816907</c:v>
                </c:pt>
                <c:pt idx="3" formatCode="0.00">
                  <c:v>2.909447961866956</c:v>
                </c:pt>
                <c:pt idx="4" formatCode="0.00">
                  <c:v>2.4276016583714162</c:v>
                </c:pt>
                <c:pt idx="5" formatCode="0.00">
                  <c:v>2.0870085490549015</c:v>
                </c:pt>
                <c:pt idx="6" formatCode="0.00">
                  <c:v>2.9017607812661383</c:v>
                </c:pt>
                <c:pt idx="7" formatCode="0.00">
                  <c:v>3.5580553289761854</c:v>
                </c:pt>
                <c:pt idx="8" formatCode="0.00">
                  <c:v>4.0507633704990056</c:v>
                </c:pt>
                <c:pt idx="9" formatCode="0.00">
                  <c:v>4.412749705015953</c:v>
                </c:pt>
                <c:pt idx="10" formatCode="0.00">
                  <c:v>4.3098695439678281</c:v>
                </c:pt>
                <c:pt idx="11" formatCode="0.00">
                  <c:v>4.0584172389343083</c:v>
                </c:pt>
                <c:pt idx="12" formatCode="0.00">
                  <c:v>3.7214569404359645</c:v>
                </c:pt>
                <c:pt idx="13" formatCode="0.00">
                  <c:v>3.3140850039203773</c:v>
                </c:pt>
                <c:pt idx="14" formatCode="0.00">
                  <c:v>3.0191274938222517</c:v>
                </c:pt>
                <c:pt idx="15" formatCode="0.00">
                  <c:v>2.9059984415955453</c:v>
                </c:pt>
                <c:pt idx="16" formatCode="0.00">
                  <c:v>2.5266711280095948</c:v>
                </c:pt>
                <c:pt idx="17" formatCode="0.00">
                  <c:v>2.1554140404435547</c:v>
                </c:pt>
                <c:pt idx="18" formatCode="0.00">
                  <c:v>1.804714992696614</c:v>
                </c:pt>
                <c:pt idx="19" formatCode="0.00">
                  <c:v>1.4837124937166239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B-0A4E-91E7-713EBD574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207584"/>
        <c:axId val="301908336"/>
      </c:lineChart>
      <c:catAx>
        <c:axId val="301207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08336"/>
        <c:crosses val="autoZero"/>
        <c:auto val="1"/>
        <c:lblAlgn val="ctr"/>
        <c:lblOffset val="100"/>
        <c:noMultiLvlLbl val="0"/>
      </c:catAx>
      <c:valAx>
        <c:axId val="30190833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Partition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coefficient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332316</xdr:colOff>
      <xdr:row>12</xdr:row>
      <xdr:rowOff>156634</xdr:rowOff>
    </xdr:from>
    <xdr:to>
      <xdr:col>9</xdr:col>
      <xdr:colOff>266699</xdr:colOff>
      <xdr:row>37</xdr:row>
      <xdr:rowOff>59268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A8012-8655-C535-DBBE-391EBBD36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568302</xdr:colOff>
      <xdr:row>12</xdr:row>
      <xdr:rowOff>142552</xdr:rowOff>
    </xdr:from>
    <xdr:to>
      <xdr:col>16</xdr:col>
      <xdr:colOff>273698</xdr:colOff>
      <xdr:row>37</xdr:row>
      <xdr:rowOff>98665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C9FFE4-0C46-4315-9114-795BC13A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0894-18D5-E44C-91F5-A235CAFDF8AE}">
  <dimension ref="A1:A17"/>
  <sheetViews>
    <sheetView tabSelected="1" workbookViewId="0"/>
  </sheetViews>
  <sheetFormatPr baseColWidth="10" defaultColWidth="10.83203125" defaultRowHeight="16" x14ac:dyDescent="0.2"/>
  <cols>
    <col min="1" max="16384" width="10.83203125" style="13"/>
  </cols>
  <sheetData>
    <row r="1" spans="1:1" ht="20" x14ac:dyDescent="0.2">
      <c r="A1" s="15" t="s">
        <v>123</v>
      </c>
    </row>
    <row r="2" spans="1:1" ht="20" x14ac:dyDescent="0.2">
      <c r="A2" s="14" t="s">
        <v>49</v>
      </c>
    </row>
    <row r="3" spans="1:1" ht="20" x14ac:dyDescent="0.2">
      <c r="A3" s="14" t="s">
        <v>122</v>
      </c>
    </row>
    <row r="4" spans="1:1" ht="20" x14ac:dyDescent="0.2">
      <c r="A4" s="14"/>
    </row>
    <row r="5" spans="1:1" ht="20" x14ac:dyDescent="0.2">
      <c r="A5" s="15" t="s">
        <v>50</v>
      </c>
    </row>
    <row r="6" spans="1:1" ht="20" x14ac:dyDescent="0.2">
      <c r="A6" s="14" t="s">
        <v>117</v>
      </c>
    </row>
    <row r="7" spans="1:1" ht="20" x14ac:dyDescent="0.2">
      <c r="A7" s="14" t="s">
        <v>77</v>
      </c>
    </row>
    <row r="8" spans="1:1" ht="20" x14ac:dyDescent="0.2">
      <c r="A8" s="14" t="s">
        <v>125</v>
      </c>
    </row>
    <row r="9" spans="1:1" ht="24" x14ac:dyDescent="0.3">
      <c r="A9" s="14" t="s">
        <v>128</v>
      </c>
    </row>
    <row r="10" spans="1:1" ht="20" x14ac:dyDescent="0.2">
      <c r="A10" s="14" t="s">
        <v>126</v>
      </c>
    </row>
    <row r="11" spans="1:1" ht="20" x14ac:dyDescent="0.2">
      <c r="A11" s="14" t="s">
        <v>127</v>
      </c>
    </row>
    <row r="15" spans="1:1" ht="20" x14ac:dyDescent="0.2">
      <c r="A15" s="15" t="s">
        <v>82</v>
      </c>
    </row>
    <row r="16" spans="1:1" ht="18" x14ac:dyDescent="0.2">
      <c r="A16" s="45" t="s">
        <v>81</v>
      </c>
    </row>
    <row r="17" spans="1:1" ht="18" x14ac:dyDescent="0.2">
      <c r="A17" s="45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0953-3C4B-024D-94E2-9D4CA658094E}">
  <dimension ref="A1:AC87"/>
  <sheetViews>
    <sheetView zoomScaleNormal="100" workbookViewId="0"/>
  </sheetViews>
  <sheetFormatPr baseColWidth="10" defaultColWidth="10.83203125" defaultRowHeight="14" x14ac:dyDescent="0.2"/>
  <cols>
    <col min="1" max="1" width="58" style="1" bestFit="1" customWidth="1"/>
    <col min="2" max="4" width="10.83203125" style="1" customWidth="1"/>
    <col min="5" max="21" width="10.83203125" style="1"/>
    <col min="22" max="22" width="25.1640625" style="1" bestFit="1" customWidth="1"/>
    <col min="23" max="16384" width="10.83203125" style="1"/>
  </cols>
  <sheetData>
    <row r="1" spans="1:29" ht="20" x14ac:dyDescent="0.2">
      <c r="A1" s="25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8" x14ac:dyDescent="0.2">
      <c r="A2" s="4"/>
      <c r="B2" s="4" t="s">
        <v>51</v>
      </c>
      <c r="C2" s="4" t="s">
        <v>52</v>
      </c>
      <c r="D2" s="4" t="s">
        <v>53</v>
      </c>
      <c r="E2" s="4" t="s">
        <v>0</v>
      </c>
      <c r="F2" s="4" t="s">
        <v>1</v>
      </c>
      <c r="G2" s="4" t="s">
        <v>2</v>
      </c>
      <c r="H2" s="4" t="s">
        <v>3</v>
      </c>
      <c r="I2" s="4" t="s">
        <v>54</v>
      </c>
      <c r="J2" s="4" t="s">
        <v>55</v>
      </c>
      <c r="K2" s="4" t="s">
        <v>56</v>
      </c>
      <c r="L2" s="4" t="s">
        <v>57</v>
      </c>
      <c r="M2" s="4" t="s">
        <v>4</v>
      </c>
      <c r="N2" s="4" t="s">
        <v>5</v>
      </c>
      <c r="O2" s="4" t="s">
        <v>6</v>
      </c>
      <c r="P2" s="3" t="s">
        <v>8</v>
      </c>
      <c r="Q2" s="3" t="s">
        <v>37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4" t="s">
        <v>46</v>
      </c>
      <c r="B3" s="7">
        <v>2</v>
      </c>
      <c r="C3" s="7">
        <v>2</v>
      </c>
      <c r="D3" s="7">
        <v>3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5</v>
      </c>
      <c r="L3" s="7">
        <v>3</v>
      </c>
      <c r="M3" s="7">
        <v>0.5</v>
      </c>
      <c r="N3" s="7">
        <v>0.5</v>
      </c>
      <c r="O3" s="7">
        <v>0.5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A4" s="1" t="s">
        <v>47</v>
      </c>
      <c r="B4" s="7">
        <v>1</v>
      </c>
      <c r="C4" s="7">
        <v>1</v>
      </c>
      <c r="D4" s="7">
        <v>2</v>
      </c>
      <c r="E4" s="7">
        <v>1</v>
      </c>
      <c r="F4" s="7">
        <v>1</v>
      </c>
      <c r="G4" s="7">
        <v>1</v>
      </c>
      <c r="H4" s="7">
        <v>1</v>
      </c>
      <c r="I4" s="7">
        <v>2</v>
      </c>
      <c r="J4" s="7">
        <v>2</v>
      </c>
      <c r="K4" s="7">
        <v>2</v>
      </c>
      <c r="L4" s="7">
        <v>2</v>
      </c>
      <c r="M4" s="7">
        <v>0</v>
      </c>
      <c r="N4" s="7">
        <v>0</v>
      </c>
      <c r="O4" s="7">
        <v>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A5" s="1" t="s">
        <v>35</v>
      </c>
      <c r="B5" s="7">
        <v>60.08</v>
      </c>
      <c r="C5" s="7">
        <v>79.87</v>
      </c>
      <c r="D5" s="7">
        <v>101.96</v>
      </c>
      <c r="E5" s="7">
        <v>71.849999999999994</v>
      </c>
      <c r="F5" s="7">
        <v>70.94</v>
      </c>
      <c r="G5" s="7">
        <v>40.299999999999997</v>
      </c>
      <c r="H5" s="7">
        <v>56.08</v>
      </c>
      <c r="I5" s="7">
        <v>61.98</v>
      </c>
      <c r="J5" s="7">
        <v>94.2</v>
      </c>
      <c r="K5" s="7">
        <v>141.94</v>
      </c>
      <c r="L5" s="7">
        <v>152</v>
      </c>
      <c r="M5" s="7">
        <v>19</v>
      </c>
      <c r="N5" s="7">
        <v>35.5</v>
      </c>
      <c r="O5" s="7">
        <v>17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/>
      <c r="N6" s="3"/>
      <c r="O6" s="3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s="9" customFormat="1" x14ac:dyDescent="0.15">
      <c r="A7" s="16" t="s">
        <v>9</v>
      </c>
      <c r="B7" s="48">
        <v>0.64914285714285724</v>
      </c>
      <c r="C7" s="48">
        <v>4.3714285714285712E-2</v>
      </c>
      <c r="D7" s="48">
        <v>2.471428571428572E-2</v>
      </c>
      <c r="E7" s="48">
        <v>1.5331428571428571</v>
      </c>
      <c r="F7" s="48">
        <v>0.25414285714285711</v>
      </c>
      <c r="G7" s="48">
        <v>0.1367142857142857</v>
      </c>
      <c r="H7" s="48">
        <v>53.643999999999991</v>
      </c>
      <c r="I7" s="48">
        <v>1.9285714285714285E-2</v>
      </c>
      <c r="J7" s="48">
        <v>8.8571428571428568E-3</v>
      </c>
      <c r="K7" s="48">
        <v>40.869428571428571</v>
      </c>
      <c r="L7" s="49">
        <v>0</v>
      </c>
      <c r="M7" s="49">
        <v>2.7001999999999997</v>
      </c>
      <c r="N7" s="49">
        <v>0.04</v>
      </c>
      <c r="O7" s="50">
        <v>0</v>
      </c>
      <c r="P7" s="21">
        <f>SUM(B7:O7)</f>
        <v>99.923342857142856</v>
      </c>
    </row>
    <row r="8" spans="1:29" x14ac:dyDescent="0.2">
      <c r="A8" s="1" t="s">
        <v>36</v>
      </c>
      <c r="B8" s="7">
        <f>B7/B5*B3</f>
        <v>2.1609282860947314E-2</v>
      </c>
      <c r="C8" s="7">
        <f t="shared" ref="C8:L8" si="0">C7/C5*C3</f>
        <v>1.0946359262372783E-3</v>
      </c>
      <c r="D8" s="7">
        <f t="shared" si="0"/>
        <v>7.2717592333127856E-4</v>
      </c>
      <c r="E8" s="7">
        <f t="shared" si="0"/>
        <v>2.1338105179441298E-2</v>
      </c>
      <c r="F8" s="7">
        <f t="shared" si="0"/>
        <v>3.5825043296145633E-3</v>
      </c>
      <c r="G8" s="7">
        <f t="shared" si="0"/>
        <v>3.3924140375753281E-3</v>
      </c>
      <c r="H8" s="7">
        <f t="shared" si="0"/>
        <v>0.95656205420827378</v>
      </c>
      <c r="I8" s="7">
        <f t="shared" si="0"/>
        <v>3.111602821186558E-4</v>
      </c>
      <c r="J8" s="7">
        <f t="shared" si="0"/>
        <v>9.4024871094934784E-5</v>
      </c>
      <c r="K8" s="7">
        <f t="shared" si="0"/>
        <v>1.4396726987258199</v>
      </c>
      <c r="L8" s="7">
        <f t="shared" si="0"/>
        <v>0</v>
      </c>
      <c r="M8" s="8">
        <f>M7/M5</f>
        <v>0.1421157894736842</v>
      </c>
      <c r="N8" s="8">
        <f>N7/N5</f>
        <v>1.1267605633802818E-3</v>
      </c>
      <c r="O8" s="8"/>
      <c r="P8" s="8">
        <f>SUM(B8:N8)</f>
        <v>2.591626606381519</v>
      </c>
      <c r="Q8" s="5">
        <f>P8-0.5*M8-0.5*N8</f>
        <v>2.5200053313629867</v>
      </c>
    </row>
    <row r="9" spans="1:29" x14ac:dyDescent="0.2">
      <c r="A9" s="1" t="s">
        <v>45</v>
      </c>
      <c r="B9" s="7">
        <f>(26-(27-26*(P8/Q8))/(2-(P8/Q8)))/Q8</f>
        <v>10.210816368950754</v>
      </c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8"/>
      <c r="O9" s="8"/>
      <c r="P9" s="8"/>
    </row>
    <row r="10" spans="1:29" x14ac:dyDescent="0.2">
      <c r="A10" s="1" t="s">
        <v>7</v>
      </c>
      <c r="B10" s="7">
        <f t="shared" ref="B10:L10" si="1">B7/B5*B3*$B$9/B3*B4</f>
        <v>0.1103242095789239</v>
      </c>
      <c r="C10" s="7">
        <f t="shared" si="1"/>
        <v>5.5885632168325861E-3</v>
      </c>
      <c r="D10" s="7">
        <f t="shared" si="1"/>
        <v>4.9500398807052646E-3</v>
      </c>
      <c r="E10" s="7">
        <f t="shared" si="1"/>
        <v>0.21787947364863208</v>
      </c>
      <c r="F10" s="7">
        <f t="shared" si="1"/>
        <v>3.658029385066533E-2</v>
      </c>
      <c r="G10" s="7">
        <f t="shared" si="1"/>
        <v>3.4639316785132476E-2</v>
      </c>
      <c r="H10" s="7">
        <f t="shared" si="1"/>
        <v>9.7672794810269998</v>
      </c>
      <c r="I10" s="7">
        <f t="shared" si="1"/>
        <v>6.3544010040490102E-3</v>
      </c>
      <c r="J10" s="7">
        <f t="shared" si="1"/>
        <v>1.9201413857292894E-3</v>
      </c>
      <c r="K10" s="7">
        <f t="shared" si="1"/>
        <v>5.8800934232324433</v>
      </c>
      <c r="L10" s="7">
        <f t="shared" si="1"/>
        <v>0</v>
      </c>
      <c r="M10" s="7">
        <f>M8*$B$9</f>
        <v>1.4511182294442537</v>
      </c>
      <c r="N10" s="7">
        <f>N8*$B$9</f>
        <v>1.1505145204451554E-2</v>
      </c>
      <c r="O10" s="7">
        <f>2-M10-N10</f>
        <v>0.53737662535129471</v>
      </c>
      <c r="P10" s="8"/>
    </row>
    <row r="11" spans="1:29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</row>
    <row r="12" spans="1:29" ht="18" x14ac:dyDescent="0.2">
      <c r="A12" s="25" t="s">
        <v>10</v>
      </c>
      <c r="B12" s="3"/>
      <c r="C12" s="3"/>
      <c r="D12" s="3"/>
      <c r="E12" s="3"/>
      <c r="F12" s="5"/>
    </row>
    <row r="13" spans="1:29" s="9" customFormat="1" x14ac:dyDescent="0.2">
      <c r="A13" s="16" t="s">
        <v>11</v>
      </c>
      <c r="B13" s="17">
        <v>1050</v>
      </c>
      <c r="C13" s="18"/>
      <c r="D13" s="19"/>
      <c r="E13" s="20"/>
      <c r="F13" s="21"/>
    </row>
    <row r="14" spans="1:29" x14ac:dyDescent="0.2">
      <c r="A14" s="9" t="s">
        <v>32</v>
      </c>
      <c r="B14" s="11"/>
      <c r="C14" s="10"/>
      <c r="D14" s="7"/>
      <c r="E14" s="2"/>
      <c r="F14" s="5"/>
    </row>
    <row r="15" spans="1:29" ht="15" x14ac:dyDescent="0.2">
      <c r="A15" s="1" t="s">
        <v>43</v>
      </c>
      <c r="B15" s="7">
        <f>-61.9260681512942+65783.1796876913/(B13+273.15)/8.31+2.53599567918181*H10+3.22062336896664*B10+5.56939536365427*K10</f>
        <v>1.9303919303979313</v>
      </c>
      <c r="C15" s="3"/>
      <c r="D15" s="3"/>
      <c r="E15" s="3"/>
      <c r="F15" s="5"/>
    </row>
    <row r="16" spans="1:29" ht="15" x14ac:dyDescent="0.2">
      <c r="A16" s="1" t="s">
        <v>41</v>
      </c>
      <c r="B16" s="7">
        <f>-2474.08365451656+448.613976729953*K10+207.58312042747*B10</f>
        <v>186.70988330647614</v>
      </c>
      <c r="C16" s="3"/>
      <c r="D16" s="3"/>
      <c r="E16" s="3"/>
      <c r="F16" s="3"/>
    </row>
    <row r="17" spans="1:22" ht="15" x14ac:dyDescent="0.2">
      <c r="A17" s="1" t="s">
        <v>42</v>
      </c>
      <c r="B17" s="7">
        <f>0.817581105867826+0.0645260838443783*K10</f>
        <v>1.1970005071081</v>
      </c>
      <c r="C17" s="2"/>
      <c r="D17" s="2"/>
      <c r="E17" s="2"/>
      <c r="F17" s="2"/>
    </row>
    <row r="18" spans="1:22" x14ac:dyDescent="0.2">
      <c r="A18" s="9" t="s">
        <v>33</v>
      </c>
      <c r="B18" s="7"/>
      <c r="C18" s="2"/>
      <c r="D18" s="2"/>
      <c r="E18" s="2"/>
      <c r="F18" s="3"/>
    </row>
    <row r="19" spans="1:22" ht="15" x14ac:dyDescent="0.2">
      <c r="A19" s="1" t="s">
        <v>38</v>
      </c>
      <c r="B19" s="7">
        <f>-194.750048582546+66615.7411108772/(B13+273.15)/8.31+8.09915077406752*H10+14.164822613712*B10+18.6234564741488*K10</f>
        <v>1.4855303489144092</v>
      </c>
      <c r="C19" s="2"/>
      <c r="D19" s="2"/>
      <c r="E19" s="2"/>
      <c r="F19" s="3"/>
    </row>
    <row r="20" spans="1:22" ht="15" x14ac:dyDescent="0.2">
      <c r="A20" s="1" t="s">
        <v>40</v>
      </c>
      <c r="B20" s="7">
        <f>-2173.59341853157+417.257453526437*K10</f>
        <v>279.91938974394907</v>
      </c>
      <c r="C20" s="2"/>
      <c r="D20" s="2"/>
      <c r="E20" s="2"/>
      <c r="F20" s="3"/>
    </row>
    <row r="21" spans="1:22" ht="15" x14ac:dyDescent="0.2">
      <c r="A21" s="1" t="s">
        <v>39</v>
      </c>
      <c r="B21" s="7">
        <f>1.13420686227572+0.136783049036052*I10</f>
        <v>1.1350760366198516</v>
      </c>
      <c r="C21" s="2"/>
      <c r="D21" s="2"/>
      <c r="E21" s="2"/>
      <c r="F21" s="3"/>
    </row>
    <row r="22" spans="1:22" x14ac:dyDescent="0.2">
      <c r="B22" s="2"/>
      <c r="C22" s="2"/>
      <c r="D22" s="2"/>
      <c r="E22" s="2"/>
      <c r="F22" s="3"/>
    </row>
    <row r="23" spans="1:22" ht="18" x14ac:dyDescent="0.2">
      <c r="A23" s="25" t="s">
        <v>12</v>
      </c>
      <c r="B23" s="2"/>
      <c r="C23" s="2"/>
      <c r="D23" s="2"/>
      <c r="E23" s="2"/>
      <c r="F23" s="3"/>
      <c r="V23" s="1" t="s">
        <v>48</v>
      </c>
    </row>
    <row r="24" spans="1:22" x14ac:dyDescent="0.2">
      <c r="A24" s="1" t="s">
        <v>13</v>
      </c>
      <c r="B24" s="26">
        <f>EXP($B$15)*EXP(((-4*PI()*$B$16*1000000000*6.02E+23)/(8.31*($B$13+273.15)))*((($B$17*0.0000000001/2*($B$17*0.0000000001-$V24*0.0000000001)^2)-(1/3*($B$17*0.0000000001-$V24*0.0000000001)^3))))</f>
        <v>0.14262766903150201</v>
      </c>
      <c r="C24" s="2"/>
      <c r="D24" s="2"/>
      <c r="E24" s="2"/>
      <c r="F24" s="2"/>
      <c r="U24" s="1" t="s">
        <v>13</v>
      </c>
      <c r="V24" s="6">
        <v>0.9556</v>
      </c>
    </row>
    <row r="25" spans="1:22" x14ac:dyDescent="0.2">
      <c r="A25" s="1" t="s">
        <v>14</v>
      </c>
      <c r="B25" s="26">
        <f t="shared" ref="B25:B28" si="2">EXP($B$15)*EXP(((-4*PI()*$B$16*1000000000*6.02E+23)/(8.31*($B$13+273.15)))*((($B$17*0.0000000001/2*($B$17*0.0000000001-$V25*0.0000000001)^2)-(1/3*($B$17*0.0000000001-$V25*0.0000000001)^3))))</f>
        <v>0.15491084714116027</v>
      </c>
      <c r="C25" s="2"/>
      <c r="D25" s="2"/>
      <c r="E25" s="2"/>
      <c r="F25" s="2"/>
      <c r="U25" s="1" t="s">
        <v>14</v>
      </c>
      <c r="V25" s="6">
        <v>0.95840000000000003</v>
      </c>
    </row>
    <row r="26" spans="1:22" x14ac:dyDescent="0.2">
      <c r="A26" s="1" t="s">
        <v>15</v>
      </c>
      <c r="B26" s="22">
        <f t="shared" si="2"/>
        <v>6.7421706853816907</v>
      </c>
      <c r="C26" s="2"/>
      <c r="D26" s="2"/>
      <c r="E26" s="2"/>
      <c r="F26" s="2"/>
      <c r="U26" s="1" t="s">
        <v>15</v>
      </c>
      <c r="V26" s="6">
        <v>1.18</v>
      </c>
    </row>
    <row r="27" spans="1:22" ht="15" x14ac:dyDescent="0.2">
      <c r="A27" s="1" t="s">
        <v>31</v>
      </c>
      <c r="B27" s="22">
        <f t="shared" si="2"/>
        <v>2.909447961866956</v>
      </c>
      <c r="C27" s="2"/>
      <c r="D27" s="2"/>
      <c r="E27" s="2"/>
      <c r="F27" s="2"/>
      <c r="U27" s="1" t="s">
        <v>31</v>
      </c>
      <c r="V27" s="6">
        <v>1.3</v>
      </c>
    </row>
    <row r="28" spans="1:22" x14ac:dyDescent="0.2">
      <c r="A28" s="1" t="s">
        <v>16</v>
      </c>
      <c r="B28" s="22">
        <f t="shared" si="2"/>
        <v>2.4276016583714162</v>
      </c>
      <c r="C28" s="2"/>
      <c r="D28" s="2"/>
      <c r="E28" s="2"/>
      <c r="F28" s="2"/>
      <c r="U28" s="1" t="s">
        <v>16</v>
      </c>
      <c r="V28" s="6">
        <v>1.31</v>
      </c>
    </row>
    <row r="29" spans="1:22" x14ac:dyDescent="0.2">
      <c r="B29" s="23"/>
      <c r="C29" s="2"/>
      <c r="D29" s="2"/>
      <c r="E29" s="2"/>
      <c r="F29" s="2"/>
      <c r="V29" s="6"/>
    </row>
    <row r="30" spans="1:22" x14ac:dyDescent="0.2">
      <c r="A30" s="12" t="s">
        <v>17</v>
      </c>
      <c r="B30" s="24">
        <f>EXP($B$19)*EXP(((-4*PI()*$B$20*1000000000*6.02E+23)/(8.31*($B$13+273.15)))*((($B$21*0.0000000001/2*($B$21*0.0000000001-$V30*0.0000000001)^2)-(1/3*($B$21*0.0000000001-$V30*0.0000000001)^3))))</f>
        <v>2.0870085490549015</v>
      </c>
      <c r="C30" s="2"/>
      <c r="D30" s="2"/>
      <c r="E30" s="2"/>
      <c r="F30" s="2"/>
      <c r="U30" s="12" t="s">
        <v>17</v>
      </c>
      <c r="V30" s="1">
        <v>1.216</v>
      </c>
    </row>
    <row r="31" spans="1:22" x14ac:dyDescent="0.2">
      <c r="A31" s="12" t="s">
        <v>18</v>
      </c>
      <c r="B31" s="24">
        <f t="shared" ref="B31:B44" si="3">EXP($B$19)*EXP(((-4*PI()*$B$20*1000000000*6.02E+23)/(8.31*($B$13+273.15)))*((($B$21*0.0000000001/2*($B$21*0.0000000001-$V31*0.0000000001)^2)-(1/3*($B$21*0.0000000001-$V31*0.0000000001)^3))))</f>
        <v>2.9017607812661383</v>
      </c>
      <c r="C31" s="2"/>
      <c r="D31" s="2"/>
      <c r="E31" s="2"/>
      <c r="F31" s="2"/>
      <c r="U31" s="12" t="s">
        <v>18</v>
      </c>
      <c r="V31" s="1">
        <v>1.196</v>
      </c>
    </row>
    <row r="32" spans="1:22" x14ac:dyDescent="0.2">
      <c r="A32" s="12" t="s">
        <v>19</v>
      </c>
      <c r="B32" s="24">
        <f t="shared" si="3"/>
        <v>3.5580553289761854</v>
      </c>
      <c r="C32" s="2"/>
      <c r="D32" s="2"/>
      <c r="E32" s="2"/>
      <c r="F32" s="2"/>
      <c r="U32" s="12" t="s">
        <v>19</v>
      </c>
      <c r="V32" s="1">
        <v>1.179</v>
      </c>
    </row>
    <row r="33" spans="1:22" x14ac:dyDescent="0.2">
      <c r="A33" s="12" t="s">
        <v>20</v>
      </c>
      <c r="B33" s="24">
        <f t="shared" si="3"/>
        <v>4.0507633704990056</v>
      </c>
      <c r="U33" s="12" t="s">
        <v>20</v>
      </c>
      <c r="V33" s="1">
        <v>1.163</v>
      </c>
    </row>
    <row r="34" spans="1:22" x14ac:dyDescent="0.2">
      <c r="A34" s="12" t="s">
        <v>21</v>
      </c>
      <c r="B34" s="24">
        <f t="shared" si="3"/>
        <v>4.412749705015953</v>
      </c>
      <c r="U34" s="12" t="s">
        <v>21</v>
      </c>
      <c r="V34" s="1">
        <v>1.1319999999999999</v>
      </c>
    </row>
    <row r="35" spans="1:22" ht="15" x14ac:dyDescent="0.2">
      <c r="A35" s="12" t="s">
        <v>34</v>
      </c>
      <c r="B35" s="24">
        <f t="shared" si="3"/>
        <v>4.3098695439678281</v>
      </c>
      <c r="U35" s="12" t="s">
        <v>34</v>
      </c>
      <c r="V35" s="1">
        <v>1.1200000000000001</v>
      </c>
    </row>
    <row r="36" spans="1:22" x14ac:dyDescent="0.2">
      <c r="A36" s="12" t="s">
        <v>22</v>
      </c>
      <c r="B36" s="24">
        <f t="shared" si="3"/>
        <v>4.0584172389343083</v>
      </c>
      <c r="U36" s="12" t="s">
        <v>22</v>
      </c>
      <c r="V36" s="1">
        <v>1.107</v>
      </c>
    </row>
    <row r="37" spans="1:22" x14ac:dyDescent="0.2">
      <c r="A37" s="12" t="s">
        <v>23</v>
      </c>
      <c r="B37" s="24">
        <f t="shared" si="3"/>
        <v>3.7214569404359645</v>
      </c>
      <c r="U37" s="12" t="s">
        <v>23</v>
      </c>
      <c r="V37" s="1">
        <v>1.095</v>
      </c>
    </row>
    <row r="38" spans="1:22" x14ac:dyDescent="0.2">
      <c r="A38" s="12" t="s">
        <v>24</v>
      </c>
      <c r="B38" s="24">
        <f t="shared" si="3"/>
        <v>3.3140850039203773</v>
      </c>
      <c r="U38" s="12" t="s">
        <v>24</v>
      </c>
      <c r="V38" s="1">
        <v>1.083</v>
      </c>
    </row>
    <row r="39" spans="1:22" x14ac:dyDescent="0.2">
      <c r="A39" s="12" t="s">
        <v>25</v>
      </c>
      <c r="B39" s="24">
        <f t="shared" si="3"/>
        <v>3.0191274938222517</v>
      </c>
      <c r="U39" s="12" t="s">
        <v>25</v>
      </c>
      <c r="V39" s="1">
        <v>1.075</v>
      </c>
    </row>
    <row r="40" spans="1:22" x14ac:dyDescent="0.2">
      <c r="A40" s="12" t="s">
        <v>26</v>
      </c>
      <c r="B40" s="24">
        <f t="shared" si="3"/>
        <v>2.9059984415955453</v>
      </c>
      <c r="U40" s="12" t="s">
        <v>26</v>
      </c>
      <c r="V40" s="1">
        <v>1.0720000000000001</v>
      </c>
    </row>
    <row r="41" spans="1:22" x14ac:dyDescent="0.2">
      <c r="A41" s="12" t="s">
        <v>27</v>
      </c>
      <c r="B41" s="24">
        <f t="shared" si="3"/>
        <v>2.5266711280095948</v>
      </c>
      <c r="U41" s="12" t="s">
        <v>27</v>
      </c>
      <c r="V41" s="1">
        <v>1.0620000000000001</v>
      </c>
    </row>
    <row r="42" spans="1:22" x14ac:dyDescent="0.2">
      <c r="A42" s="12" t="s">
        <v>28</v>
      </c>
      <c r="B42" s="24">
        <f t="shared" si="3"/>
        <v>2.1554140404435547</v>
      </c>
      <c r="U42" s="12" t="s">
        <v>28</v>
      </c>
      <c r="V42" s="1">
        <v>1.052</v>
      </c>
    </row>
    <row r="43" spans="1:22" x14ac:dyDescent="0.2">
      <c r="A43" s="12" t="s">
        <v>29</v>
      </c>
      <c r="B43" s="24">
        <f t="shared" si="3"/>
        <v>1.804714992696614</v>
      </c>
      <c r="U43" s="12" t="s">
        <v>29</v>
      </c>
      <c r="V43" s="1">
        <v>1.042</v>
      </c>
    </row>
    <row r="44" spans="1:22" x14ac:dyDescent="0.2">
      <c r="A44" s="12" t="s">
        <v>30</v>
      </c>
      <c r="B44" s="24">
        <f t="shared" si="3"/>
        <v>1.4837124937166239</v>
      </c>
      <c r="U44" s="12" t="s">
        <v>30</v>
      </c>
      <c r="V44" s="1">
        <v>1.032</v>
      </c>
    </row>
    <row r="54" spans="1:9" x14ac:dyDescent="0.2">
      <c r="A54" s="4"/>
      <c r="B54" s="4"/>
      <c r="F54" s="9"/>
    </row>
    <row r="55" spans="1:9" x14ac:dyDescent="0.2">
      <c r="A55" s="4"/>
      <c r="B55" s="7"/>
      <c r="C55" s="7"/>
      <c r="D55" s="7"/>
      <c r="E55" s="3"/>
      <c r="F55" s="35"/>
      <c r="G55" s="7"/>
      <c r="H55" s="7"/>
      <c r="I55" s="7"/>
    </row>
    <row r="56" spans="1:9" x14ac:dyDescent="0.2">
      <c r="A56" s="4"/>
      <c r="B56" s="7"/>
      <c r="C56" s="7"/>
      <c r="D56" s="7"/>
      <c r="E56" s="3"/>
      <c r="F56" s="35"/>
      <c r="G56" s="7"/>
      <c r="H56" s="7"/>
      <c r="I56" s="7"/>
    </row>
    <row r="57" spans="1:9" x14ac:dyDescent="0.2">
      <c r="A57" s="4"/>
      <c r="B57" s="7"/>
      <c r="C57" s="7"/>
      <c r="D57" s="7"/>
      <c r="E57" s="3"/>
      <c r="F57" s="35"/>
      <c r="G57" s="7"/>
      <c r="H57" s="7"/>
      <c r="I57" s="7"/>
    </row>
    <row r="58" spans="1:9" x14ac:dyDescent="0.2">
      <c r="A58" s="4"/>
      <c r="B58" s="7"/>
      <c r="C58" s="7"/>
      <c r="D58" s="7"/>
      <c r="E58" s="3"/>
      <c r="F58" s="35"/>
      <c r="G58" s="7"/>
      <c r="H58" s="7"/>
      <c r="I58" s="7"/>
    </row>
    <row r="59" spans="1:9" x14ac:dyDescent="0.2">
      <c r="A59" s="4"/>
      <c r="B59" s="7"/>
      <c r="C59" s="7"/>
      <c r="D59" s="7"/>
      <c r="E59" s="3"/>
      <c r="F59" s="35"/>
      <c r="G59" s="7"/>
      <c r="H59" s="7"/>
      <c r="I59" s="7"/>
    </row>
    <row r="60" spans="1:9" x14ac:dyDescent="0.2">
      <c r="A60" s="4"/>
      <c r="B60" s="7"/>
      <c r="C60" s="7"/>
      <c r="D60" s="7"/>
      <c r="E60" s="3"/>
      <c r="F60" s="35"/>
      <c r="G60" s="7"/>
      <c r="H60" s="7"/>
      <c r="I60" s="7"/>
    </row>
    <row r="61" spans="1:9" x14ac:dyDescent="0.2">
      <c r="A61" s="4"/>
      <c r="B61" s="7"/>
      <c r="C61" s="7"/>
      <c r="D61" s="7"/>
      <c r="E61" s="3"/>
      <c r="F61" s="35"/>
      <c r="G61" s="7"/>
      <c r="H61" s="7"/>
      <c r="I61" s="7"/>
    </row>
    <row r="62" spans="1:9" x14ac:dyDescent="0.2">
      <c r="A62" s="4"/>
      <c r="B62" s="7"/>
      <c r="C62" s="7"/>
      <c r="D62" s="7"/>
      <c r="E62" s="3"/>
      <c r="F62" s="35"/>
      <c r="G62" s="7"/>
      <c r="H62" s="7"/>
      <c r="I62" s="7"/>
    </row>
    <row r="63" spans="1:9" x14ac:dyDescent="0.2">
      <c r="A63" s="4"/>
      <c r="B63" s="7"/>
      <c r="C63" s="7"/>
      <c r="D63" s="7"/>
      <c r="E63" s="3"/>
      <c r="F63" s="35"/>
      <c r="G63" s="7"/>
      <c r="H63" s="7"/>
      <c r="I63" s="7"/>
    </row>
    <row r="64" spans="1:9" x14ac:dyDescent="0.2">
      <c r="A64" s="4"/>
      <c r="B64" s="7"/>
      <c r="C64" s="7"/>
      <c r="D64" s="7"/>
      <c r="E64" s="3"/>
      <c r="F64" s="35"/>
      <c r="G64" s="7"/>
      <c r="H64" s="7"/>
      <c r="I64" s="7"/>
    </row>
    <row r="65" spans="1:9" x14ac:dyDescent="0.2">
      <c r="A65" s="4"/>
      <c r="B65" s="7"/>
      <c r="C65" s="7"/>
      <c r="D65" s="7"/>
      <c r="E65" s="3"/>
      <c r="F65" s="35"/>
      <c r="G65" s="7"/>
      <c r="H65" s="7"/>
      <c r="I65" s="7"/>
    </row>
    <row r="66" spans="1:9" x14ac:dyDescent="0.2">
      <c r="A66" s="4"/>
      <c r="B66" s="7"/>
      <c r="C66" s="7"/>
      <c r="D66" s="7"/>
      <c r="E66" s="2"/>
      <c r="F66" s="35"/>
      <c r="G66" s="8"/>
      <c r="H66" s="8"/>
      <c r="I66" s="7"/>
    </row>
    <row r="67" spans="1:9" x14ac:dyDescent="0.2">
      <c r="A67" s="4"/>
      <c r="B67" s="7"/>
      <c r="C67" s="7"/>
      <c r="D67" s="7"/>
      <c r="E67" s="3"/>
      <c r="F67" s="35"/>
      <c r="G67" s="8"/>
      <c r="H67" s="8"/>
      <c r="I67" s="7"/>
    </row>
    <row r="68" spans="1:9" x14ac:dyDescent="0.2">
      <c r="A68" s="4"/>
      <c r="B68" s="7"/>
      <c r="C68" s="7"/>
      <c r="D68" s="7"/>
      <c r="E68" s="3"/>
      <c r="F68" s="27"/>
      <c r="G68" s="8"/>
      <c r="H68" s="8"/>
      <c r="I68" s="7"/>
    </row>
    <row r="69" spans="1:9" x14ac:dyDescent="0.2">
      <c r="A69" s="3"/>
      <c r="B69" s="3"/>
      <c r="C69" s="3"/>
      <c r="D69" s="3"/>
      <c r="E69" s="2"/>
      <c r="F69" s="21"/>
      <c r="G69" s="8"/>
      <c r="H69" s="8"/>
      <c r="I69" s="8"/>
    </row>
    <row r="70" spans="1:9" x14ac:dyDescent="0.2">
      <c r="A70" s="3"/>
      <c r="B70" s="3"/>
      <c r="C70" s="3"/>
      <c r="D70" s="3"/>
      <c r="E70" s="2"/>
      <c r="F70" s="9"/>
      <c r="G70" s="5"/>
    </row>
    <row r="74" spans="1:9" x14ac:dyDescent="0.2">
      <c r="F74" s="7"/>
    </row>
    <row r="75" spans="1:9" x14ac:dyDescent="0.2">
      <c r="F75" s="7"/>
    </row>
    <row r="76" spans="1:9" x14ac:dyDescent="0.2">
      <c r="F76" s="7"/>
    </row>
    <row r="77" spans="1:9" x14ac:dyDescent="0.2">
      <c r="F77" s="7"/>
    </row>
    <row r="78" spans="1:9" x14ac:dyDescent="0.2">
      <c r="F78" s="7"/>
    </row>
    <row r="79" spans="1:9" x14ac:dyDescent="0.2">
      <c r="F79" s="7"/>
    </row>
    <row r="80" spans="1:9" x14ac:dyDescent="0.2">
      <c r="F80" s="7"/>
    </row>
    <row r="81" spans="6:6" x14ac:dyDescent="0.2">
      <c r="F81" s="7"/>
    </row>
    <row r="82" spans="6:6" x14ac:dyDescent="0.2">
      <c r="F82" s="7"/>
    </row>
    <row r="83" spans="6:6" x14ac:dyDescent="0.2">
      <c r="F83" s="7"/>
    </row>
    <row r="84" spans="6:6" x14ac:dyDescent="0.2">
      <c r="F84" s="7"/>
    </row>
    <row r="85" spans="6:6" x14ac:dyDescent="0.2">
      <c r="F85" s="7"/>
    </row>
    <row r="86" spans="6:6" x14ac:dyDescent="0.2">
      <c r="F86" s="7"/>
    </row>
    <row r="87" spans="6:6" x14ac:dyDescent="0.2">
      <c r="F87" s="7"/>
    </row>
  </sheetData>
  <conditionalFormatting sqref="A2:A3 B2:L6 N2:O6 B12:E12">
    <cfRule type="cellIs" dxfId="14" priority="8" stopIfTrue="1" operator="lessThan">
      <formula>0</formula>
    </cfRule>
  </conditionalFormatting>
  <conditionalFormatting sqref="A54:B54 A55:E65 A67:E68">
    <cfRule type="cellIs" dxfId="13" priority="3" stopIfTrue="1" operator="lessThan">
      <formula>0</formula>
    </cfRule>
  </conditionalFormatting>
  <conditionalFormatting sqref="A69:D70">
    <cfRule type="cellIs" dxfId="12" priority="4" stopIfTrue="1" operator="lessThan">
      <formula>0</formula>
    </cfRule>
  </conditionalFormatting>
  <conditionalFormatting sqref="B8:L9 B10:O11 B15:E16">
    <cfRule type="cellIs" dxfId="11" priority="12" stopIfTrue="1" operator="lessThan">
      <formula>0</formula>
    </cfRule>
  </conditionalFormatting>
  <conditionalFormatting sqref="F16">
    <cfRule type="cellIs" dxfId="10" priority="11" stopIfTrue="1" operator="lessThan">
      <formula>0</formula>
    </cfRule>
  </conditionalFormatting>
  <conditionalFormatting sqref="F18:F23">
    <cfRule type="cellIs" dxfId="9" priority="10" stopIfTrue="1" operator="lessThan">
      <formula>0</formula>
    </cfRule>
  </conditionalFormatting>
  <conditionalFormatting sqref="F68">
    <cfRule type="cellIs" dxfId="8" priority="2" stopIfTrue="1" operator="lessThan">
      <formula>0</formula>
    </cfRule>
  </conditionalFormatting>
  <conditionalFormatting sqref="F74:F87">
    <cfRule type="cellIs" dxfId="7" priority="1" stopIfTrue="1" operator="lessThan">
      <formula>0</formula>
    </cfRule>
  </conditionalFormatting>
  <conditionalFormatting sqref="G55:H65 I55:I68">
    <cfRule type="cellIs" dxfId="6" priority="5" stopIfTrue="1" operator="lessThan">
      <formula>0</formula>
    </cfRule>
  </conditionalFormatting>
  <conditionalFormatting sqref="O7">
    <cfRule type="cellIs" dxfId="5" priority="7" stopIfTrue="1" operator="lessThan">
      <formula>0</formula>
    </cfRule>
  </conditionalFormatting>
  <conditionalFormatting sqref="P1:AC5">
    <cfRule type="cellIs" dxfId="4" priority="9" stopIfTrue="1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30E9-FDE4-E144-847A-770B964AF0DB}">
  <dimension ref="A1:AE97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0.83203125" defaultRowHeight="16" x14ac:dyDescent="0.2"/>
  <cols>
    <col min="1" max="1" width="18.5" style="33" customWidth="1"/>
    <col min="2" max="2" width="10.83203125" style="33"/>
    <col min="3" max="3" width="12.5" style="33" bestFit="1" customWidth="1"/>
    <col min="4" max="4" width="10.83203125" style="33"/>
    <col min="5" max="5" width="13.1640625" style="33" bestFit="1" customWidth="1"/>
    <col min="6" max="16384" width="10.83203125" style="33"/>
  </cols>
  <sheetData>
    <row r="1" spans="1:31" x14ac:dyDescent="0.2">
      <c r="A1" s="46" t="s">
        <v>124</v>
      </c>
    </row>
    <row r="2" spans="1:31" x14ac:dyDescent="0.2">
      <c r="A2" s="31" t="s">
        <v>99</v>
      </c>
      <c r="B2" s="54" t="s">
        <v>105</v>
      </c>
      <c r="C2" s="54"/>
      <c r="D2" s="54"/>
      <c r="E2" s="54"/>
      <c r="F2" s="54"/>
      <c r="G2" s="54"/>
      <c r="H2" s="54"/>
      <c r="I2" s="54"/>
      <c r="J2" s="54"/>
      <c r="K2" s="54"/>
      <c r="L2" s="54" t="s">
        <v>106</v>
      </c>
      <c r="M2" s="54"/>
      <c r="N2" s="54"/>
      <c r="O2" s="54"/>
      <c r="P2" s="54" t="s">
        <v>100</v>
      </c>
      <c r="Q2" s="54"/>
      <c r="R2" s="54"/>
      <c r="S2" s="54"/>
      <c r="T2" s="54"/>
      <c r="U2" s="54"/>
      <c r="V2" s="54"/>
      <c r="W2" s="54"/>
      <c r="X2" s="54"/>
      <c r="Y2" s="31"/>
      <c r="Z2" s="31"/>
      <c r="AA2" s="31"/>
      <c r="AB2" s="53" t="s">
        <v>107</v>
      </c>
      <c r="AC2" s="55" t="s">
        <v>108</v>
      </c>
      <c r="AD2" s="55"/>
      <c r="AE2" s="46" t="s">
        <v>120</v>
      </c>
    </row>
    <row r="3" spans="1:31" x14ac:dyDescent="0.2">
      <c r="A3" s="36" t="s">
        <v>80</v>
      </c>
      <c r="B3" s="33">
        <v>72</v>
      </c>
      <c r="C3" s="33">
        <v>78</v>
      </c>
      <c r="D3" s="33">
        <v>77</v>
      </c>
      <c r="E3" s="33" t="s">
        <v>83</v>
      </c>
      <c r="F3" s="33" t="s">
        <v>84</v>
      </c>
      <c r="G3" s="33" t="s">
        <v>85</v>
      </c>
      <c r="H3" s="33" t="s">
        <v>86</v>
      </c>
      <c r="I3" s="33" t="s">
        <v>87</v>
      </c>
      <c r="J3" s="33">
        <v>43</v>
      </c>
      <c r="K3" s="33" t="s">
        <v>88</v>
      </c>
      <c r="L3" s="33" t="s">
        <v>89</v>
      </c>
      <c r="M3" s="33" t="s">
        <v>90</v>
      </c>
      <c r="N3" s="33" t="s">
        <v>90</v>
      </c>
      <c r="O3" s="33" t="s">
        <v>90</v>
      </c>
      <c r="P3" s="33" t="s">
        <v>111</v>
      </c>
      <c r="Q3" s="33" t="s">
        <v>91</v>
      </c>
      <c r="R3" s="33" t="s">
        <v>92</v>
      </c>
      <c r="S3" s="33" t="s">
        <v>93</v>
      </c>
      <c r="T3" s="33" t="s">
        <v>94</v>
      </c>
      <c r="U3" s="33" t="s">
        <v>95</v>
      </c>
      <c r="V3" s="33" t="s">
        <v>112</v>
      </c>
      <c r="W3" s="33" t="s">
        <v>96</v>
      </c>
      <c r="X3" s="33" t="s">
        <v>97</v>
      </c>
      <c r="Y3" s="33" t="s">
        <v>113</v>
      </c>
      <c r="Z3" s="33" t="s">
        <v>114</v>
      </c>
      <c r="AA3" s="33" t="s">
        <v>115</v>
      </c>
      <c r="AB3" s="33" t="s">
        <v>98</v>
      </c>
      <c r="AC3" s="33" t="s">
        <v>109</v>
      </c>
      <c r="AD3" s="33" t="s">
        <v>110</v>
      </c>
      <c r="AE3" s="33" t="s">
        <v>121</v>
      </c>
    </row>
    <row r="4" spans="1:31" ht="18" x14ac:dyDescent="0.2">
      <c r="A4" s="37" t="s">
        <v>67</v>
      </c>
      <c r="B4" s="32">
        <v>0.31</v>
      </c>
      <c r="C4" s="32">
        <v>0.33</v>
      </c>
      <c r="D4" s="32">
        <v>0.26</v>
      </c>
      <c r="E4" s="32">
        <v>0.55000000000000004</v>
      </c>
      <c r="F4" s="32">
        <v>0.88</v>
      </c>
      <c r="G4" s="32">
        <v>0.45</v>
      </c>
      <c r="H4" s="32">
        <v>0.63</v>
      </c>
      <c r="I4" s="32">
        <v>0.59</v>
      </c>
      <c r="J4" s="32">
        <v>0.15</v>
      </c>
      <c r="K4" s="32">
        <v>0.25</v>
      </c>
      <c r="L4" s="32">
        <v>1.08</v>
      </c>
      <c r="M4" s="32">
        <v>0.3</v>
      </c>
      <c r="N4" s="32">
        <v>0.51</v>
      </c>
      <c r="O4" s="32">
        <v>1.98</v>
      </c>
      <c r="P4" s="32">
        <v>0.64914285714285724</v>
      </c>
      <c r="Q4" s="32">
        <v>0.78955555555555557</v>
      </c>
      <c r="R4" s="32">
        <v>0.92685714285714293</v>
      </c>
      <c r="S4" s="32">
        <v>0.81</v>
      </c>
      <c r="T4" s="32">
        <v>0.63862499999999989</v>
      </c>
      <c r="U4" s="32">
        <v>1.84</v>
      </c>
      <c r="V4" s="32">
        <v>0.52742857142857147</v>
      </c>
      <c r="W4" s="32">
        <v>1.8735714285714287</v>
      </c>
      <c r="X4" s="32">
        <v>1.36</v>
      </c>
      <c r="Y4" s="32">
        <v>0.42616666666666675</v>
      </c>
      <c r="Z4" s="32">
        <v>0.53889999999999993</v>
      </c>
      <c r="AA4" s="32">
        <v>0.60016666666666663</v>
      </c>
      <c r="AB4" s="32">
        <v>0.48193383333333334</v>
      </c>
      <c r="AC4" s="51">
        <v>0.66</v>
      </c>
      <c r="AD4" s="51">
        <v>0.67</v>
      </c>
      <c r="AE4" s="51">
        <v>2.9</v>
      </c>
    </row>
    <row r="5" spans="1:31" ht="18" x14ac:dyDescent="0.2">
      <c r="A5" s="37" t="s">
        <v>68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>
        <v>4.3714285714285712E-2</v>
      </c>
      <c r="Q5" s="32">
        <v>7.1111111111111111E-2</v>
      </c>
      <c r="R5" s="32">
        <v>3.5571428571428573E-2</v>
      </c>
      <c r="S5" s="32">
        <v>7.0000000000000007E-2</v>
      </c>
      <c r="T5" s="32">
        <v>4.1499999999999995E-2</v>
      </c>
      <c r="U5" s="32">
        <v>0.05</v>
      </c>
      <c r="V5" s="32">
        <v>5.4999999999999993E-2</v>
      </c>
      <c r="W5" s="32">
        <v>0.14185714285714285</v>
      </c>
      <c r="X5" s="32">
        <v>7.0000000000000007E-2</v>
      </c>
      <c r="Y5" s="32">
        <v>1.8166666666666668E-2</v>
      </c>
      <c r="Z5" s="32">
        <v>2.52E-2</v>
      </c>
      <c r="AA5" s="32">
        <v>3.1E-2</v>
      </c>
      <c r="AB5" s="32"/>
      <c r="AC5" s="51">
        <v>0.02</v>
      </c>
      <c r="AD5" s="51">
        <v>0.04</v>
      </c>
      <c r="AE5" s="51"/>
    </row>
    <row r="6" spans="1:31" ht="18" x14ac:dyDescent="0.2">
      <c r="A6" s="37" t="s">
        <v>69</v>
      </c>
      <c r="B6" s="32">
        <v>0</v>
      </c>
      <c r="C6" s="32">
        <v>0.01</v>
      </c>
      <c r="D6" s="32">
        <v>0.02</v>
      </c>
      <c r="E6" s="32">
        <v>0.04</v>
      </c>
      <c r="F6" s="32">
        <v>0.04</v>
      </c>
      <c r="G6" s="32">
        <v>0.01</v>
      </c>
      <c r="H6" s="32">
        <v>0.01</v>
      </c>
      <c r="I6" s="32">
        <v>0</v>
      </c>
      <c r="J6" s="32">
        <v>0.01</v>
      </c>
      <c r="K6" s="32">
        <v>0.01</v>
      </c>
      <c r="L6" s="32"/>
      <c r="M6" s="32"/>
      <c r="N6" s="32"/>
      <c r="O6" s="32"/>
      <c r="P6" s="32">
        <v>2.471428571428572E-2</v>
      </c>
      <c r="Q6" s="32">
        <v>3.8777777777777779E-2</v>
      </c>
      <c r="R6" s="32">
        <v>7.2714285714285717E-2</v>
      </c>
      <c r="S6" s="32">
        <v>0.02</v>
      </c>
      <c r="T6" s="32">
        <v>7.337500000000001E-2</v>
      </c>
      <c r="U6" s="32">
        <v>0.04</v>
      </c>
      <c r="V6" s="32">
        <v>5.7714285714285718E-2</v>
      </c>
      <c r="W6" s="32">
        <v>4.7142857142857146E-2</v>
      </c>
      <c r="X6" s="32">
        <v>0.04</v>
      </c>
      <c r="Y6" s="32">
        <v>4.0833333333333326E-2</v>
      </c>
      <c r="Z6" s="32">
        <v>9.0000000000000011E-2</v>
      </c>
      <c r="AA6" s="32">
        <v>2.7333333333333338E-2</v>
      </c>
      <c r="AB6" s="32"/>
      <c r="AC6" s="51">
        <v>0.03</v>
      </c>
      <c r="AD6" s="51">
        <v>0.11</v>
      </c>
      <c r="AE6" s="51"/>
    </row>
    <row r="7" spans="1:31" x14ac:dyDescent="0.2">
      <c r="A7" s="37" t="s">
        <v>0</v>
      </c>
      <c r="B7" s="32">
        <v>0</v>
      </c>
      <c r="C7" s="32">
        <v>0.02</v>
      </c>
      <c r="D7" s="32">
        <v>0.03</v>
      </c>
      <c r="E7" s="32">
        <v>0.02</v>
      </c>
      <c r="F7" s="32">
        <v>0.19</v>
      </c>
      <c r="G7" s="32">
        <v>0.28999999999999998</v>
      </c>
      <c r="H7" s="32">
        <v>0.02</v>
      </c>
      <c r="I7" s="32">
        <v>0.01</v>
      </c>
      <c r="J7" s="32">
        <v>0</v>
      </c>
      <c r="K7" s="32">
        <v>0</v>
      </c>
      <c r="L7" s="32">
        <v>0.61</v>
      </c>
      <c r="M7" s="32">
        <v>0.63</v>
      </c>
      <c r="N7" s="32">
        <v>0.56999999999999995</v>
      </c>
      <c r="O7" s="32">
        <v>0.64</v>
      </c>
      <c r="P7" s="32">
        <v>1.5331428571428571</v>
      </c>
      <c r="Q7" s="32">
        <v>1.9906666666666668</v>
      </c>
      <c r="R7" s="32">
        <v>2.468</v>
      </c>
      <c r="S7" s="32">
        <v>1.7</v>
      </c>
      <c r="T7" s="32">
        <v>2.0297499999999999</v>
      </c>
      <c r="U7" s="32">
        <v>2.02</v>
      </c>
      <c r="V7" s="32">
        <v>1.0387142857142855</v>
      </c>
      <c r="W7" s="32">
        <v>1.5111428571428571</v>
      </c>
      <c r="X7" s="32">
        <v>1.68</v>
      </c>
      <c r="Y7" s="32">
        <v>1.5839999999999999</v>
      </c>
      <c r="Z7" s="32">
        <v>1.5311000000000001</v>
      </c>
      <c r="AA7" s="32">
        <v>1.3739999999999999</v>
      </c>
      <c r="AB7" s="32">
        <v>0.23184911111111114</v>
      </c>
      <c r="AC7" s="51">
        <v>0.14000000000000001</v>
      </c>
      <c r="AD7" s="51">
        <v>0.13</v>
      </c>
      <c r="AE7" s="51"/>
    </row>
    <row r="8" spans="1:31" x14ac:dyDescent="0.2">
      <c r="A8" s="37" t="s">
        <v>1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>
        <v>0.25414285714285711</v>
      </c>
      <c r="Q8" s="32">
        <v>0.29622222222222228</v>
      </c>
      <c r="R8" s="32">
        <v>0.39257142857142852</v>
      </c>
      <c r="S8" s="32">
        <v>0.23</v>
      </c>
      <c r="T8" s="32">
        <v>0.20825000000000002</v>
      </c>
      <c r="U8" s="32">
        <v>0.31</v>
      </c>
      <c r="V8" s="32">
        <v>0.251</v>
      </c>
      <c r="W8" s="32">
        <v>0.26771428571428574</v>
      </c>
      <c r="X8" s="32">
        <v>0.41</v>
      </c>
      <c r="Y8" s="32">
        <v>0.32149999999999995</v>
      </c>
      <c r="Z8" s="32">
        <v>0.37719999999999998</v>
      </c>
      <c r="AA8" s="32">
        <v>0.37633333333333335</v>
      </c>
      <c r="AB8" s="32">
        <v>9.4982055555555556E-2</v>
      </c>
      <c r="AC8" s="51"/>
      <c r="AD8" s="51"/>
      <c r="AE8" s="51"/>
    </row>
    <row r="9" spans="1:31" x14ac:dyDescent="0.2">
      <c r="A9" s="37" t="s">
        <v>2</v>
      </c>
      <c r="B9" s="32">
        <v>0.01</v>
      </c>
      <c r="C9" s="32">
        <v>0.05</v>
      </c>
      <c r="D9" s="32">
        <v>0.13</v>
      </c>
      <c r="E9" s="32">
        <v>0</v>
      </c>
      <c r="F9" s="32">
        <v>0.49</v>
      </c>
      <c r="G9" s="32">
        <v>0.37</v>
      </c>
      <c r="H9" s="32">
        <v>0.94</v>
      </c>
      <c r="I9" s="32">
        <v>0.66</v>
      </c>
      <c r="J9" s="32">
        <v>0.01</v>
      </c>
      <c r="K9" s="32">
        <v>0.05</v>
      </c>
      <c r="L9" s="32">
        <v>0.45</v>
      </c>
      <c r="M9" s="32">
        <v>0.55000000000000004</v>
      </c>
      <c r="N9" s="32">
        <v>0.52</v>
      </c>
      <c r="O9" s="32">
        <v>0.4</v>
      </c>
      <c r="P9" s="32">
        <v>0.1367142857142857</v>
      </c>
      <c r="Q9" s="32">
        <v>5.7000000000000002E-2</v>
      </c>
      <c r="R9" s="32">
        <v>4.9857142857142857E-2</v>
      </c>
      <c r="S9" s="32">
        <v>0.14099999999999999</v>
      </c>
      <c r="T9" s="32">
        <v>0.10337499999999999</v>
      </c>
      <c r="U9" s="32">
        <v>0.11</v>
      </c>
      <c r="V9" s="32">
        <v>0.13571428571428573</v>
      </c>
      <c r="W9" s="32">
        <v>0.13142857142857142</v>
      </c>
      <c r="X9" s="32">
        <v>0.1</v>
      </c>
      <c r="Y9" s="32">
        <v>0.22883333333333333</v>
      </c>
      <c r="Z9" s="32">
        <v>0.27810000000000001</v>
      </c>
      <c r="AA9" s="32">
        <v>0.20449999999999999</v>
      </c>
      <c r="AB9" s="32">
        <v>0.12944583333333334</v>
      </c>
      <c r="AC9" s="51">
        <v>0.9</v>
      </c>
      <c r="AD9" s="51">
        <v>1.05</v>
      </c>
      <c r="AE9" s="51"/>
    </row>
    <row r="10" spans="1:31" x14ac:dyDescent="0.2">
      <c r="A10" s="37" t="s">
        <v>3</v>
      </c>
      <c r="B10" s="32">
        <v>53.66</v>
      </c>
      <c r="C10" s="32">
        <v>53.74</v>
      </c>
      <c r="D10" s="32">
        <v>53.86</v>
      </c>
      <c r="E10" s="32">
        <v>54.59</v>
      </c>
      <c r="F10" s="32">
        <v>53.75</v>
      </c>
      <c r="G10" s="32">
        <v>54.15</v>
      </c>
      <c r="H10" s="32">
        <v>54.27</v>
      </c>
      <c r="I10" s="32">
        <v>54.06</v>
      </c>
      <c r="J10" s="32">
        <v>54.91</v>
      </c>
      <c r="K10" s="32">
        <v>54.94</v>
      </c>
      <c r="L10" s="32">
        <v>50.18</v>
      </c>
      <c r="M10" s="32">
        <v>52.91</v>
      </c>
      <c r="N10" s="32">
        <v>51.89</v>
      </c>
      <c r="O10" s="32">
        <v>48.59</v>
      </c>
      <c r="P10" s="32">
        <v>53.643999999999991</v>
      </c>
      <c r="Q10" s="32">
        <v>53.208444444444439</v>
      </c>
      <c r="R10" s="32">
        <v>50.960285714285718</v>
      </c>
      <c r="S10" s="32">
        <v>53.41</v>
      </c>
      <c r="T10" s="32">
        <v>54.313000000000002</v>
      </c>
      <c r="U10" s="32">
        <v>50.23</v>
      </c>
      <c r="V10" s="32">
        <v>52.857571428571433</v>
      </c>
      <c r="W10" s="32">
        <v>52.984142857142857</v>
      </c>
      <c r="X10" s="32">
        <v>51.49</v>
      </c>
      <c r="Y10" s="32">
        <v>52.046166666666664</v>
      </c>
      <c r="Z10" s="32">
        <v>53.265900000000002</v>
      </c>
      <c r="AA10" s="32">
        <v>52.103833333333341</v>
      </c>
      <c r="AB10" s="32">
        <v>53.240044444444443</v>
      </c>
      <c r="AC10" s="51">
        <v>53.84</v>
      </c>
      <c r="AD10" s="51">
        <v>53.48</v>
      </c>
      <c r="AE10" s="51">
        <v>46.4</v>
      </c>
    </row>
    <row r="11" spans="1:31" ht="18" x14ac:dyDescent="0.2">
      <c r="A11" s="37" t="s">
        <v>70</v>
      </c>
      <c r="B11" s="32">
        <v>0.62</v>
      </c>
      <c r="C11" s="32">
        <v>0.6</v>
      </c>
      <c r="D11" s="32">
        <v>0.36</v>
      </c>
      <c r="E11" s="32">
        <v>0.11</v>
      </c>
      <c r="F11" s="32">
        <v>0.12</v>
      </c>
      <c r="G11" s="32">
        <v>0.05</v>
      </c>
      <c r="H11" s="32">
        <v>0.02</v>
      </c>
      <c r="I11" s="32">
        <v>0.05</v>
      </c>
      <c r="J11" s="32">
        <v>0.19</v>
      </c>
      <c r="K11" s="32">
        <v>0.14000000000000001</v>
      </c>
      <c r="L11" s="32"/>
      <c r="M11" s="32"/>
      <c r="N11" s="32"/>
      <c r="O11" s="32"/>
      <c r="P11" s="32">
        <v>1.9285714285714285E-2</v>
      </c>
      <c r="Q11" s="32">
        <v>4.6444444444444441E-2</v>
      </c>
      <c r="R11" s="32">
        <v>0.15385714285714286</v>
      </c>
      <c r="S11" s="32">
        <v>0.02</v>
      </c>
      <c r="T11" s="32">
        <v>1.6875000000000001E-2</v>
      </c>
      <c r="U11" s="32">
        <v>0.13</v>
      </c>
      <c r="V11" s="32">
        <v>1.3857142857142856E-2</v>
      </c>
      <c r="W11" s="32">
        <v>8.1142857142857155E-2</v>
      </c>
      <c r="X11" s="32">
        <v>0.12</v>
      </c>
      <c r="Y11" s="32">
        <v>1.95E-2</v>
      </c>
      <c r="Z11" s="32">
        <v>1.7999999999999999E-2</v>
      </c>
      <c r="AA11" s="32">
        <v>4.4000000000000004E-2</v>
      </c>
      <c r="AB11" s="32">
        <v>0.20032583333333334</v>
      </c>
      <c r="AC11" s="51">
        <v>0.11</v>
      </c>
      <c r="AD11" s="51">
        <v>0.28000000000000003</v>
      </c>
      <c r="AE11" s="51"/>
    </row>
    <row r="12" spans="1:31" ht="18" x14ac:dyDescent="0.2">
      <c r="A12" s="37" t="s">
        <v>71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>
        <v>8.8571428571428568E-3</v>
      </c>
      <c r="Q12" s="32"/>
      <c r="R12" s="32"/>
      <c r="S12" s="32"/>
      <c r="T12" s="32">
        <v>4.3749999999999995E-3</v>
      </c>
      <c r="U12" s="32">
        <v>0.01</v>
      </c>
      <c r="V12" s="32">
        <v>6.5714285714285709E-3</v>
      </c>
      <c r="W12" s="32">
        <v>6.1428571428571435E-3</v>
      </c>
      <c r="X12" s="32">
        <v>0.01</v>
      </c>
      <c r="Y12" s="32">
        <v>3.8333333333333331E-3</v>
      </c>
      <c r="Z12" s="32">
        <v>5.1000000000000004E-3</v>
      </c>
      <c r="AA12" s="32">
        <v>5.3333333333333332E-3</v>
      </c>
      <c r="AB12" s="32"/>
      <c r="AC12" s="51"/>
      <c r="AD12" s="51"/>
      <c r="AE12" s="51"/>
    </row>
    <row r="13" spans="1:31" ht="18" x14ac:dyDescent="0.2">
      <c r="A13" s="37" t="s">
        <v>72</v>
      </c>
      <c r="B13" s="32">
        <v>41.6</v>
      </c>
      <c r="C13" s="32">
        <v>41.22</v>
      </c>
      <c r="D13" s="32">
        <v>41.4</v>
      </c>
      <c r="E13" s="32">
        <v>41.04</v>
      </c>
      <c r="F13" s="32">
        <v>40.840000000000003</v>
      </c>
      <c r="G13" s="32">
        <v>41.38</v>
      </c>
      <c r="H13" s="32">
        <v>41.83</v>
      </c>
      <c r="I13" s="32">
        <v>41.06</v>
      </c>
      <c r="J13" s="32">
        <v>42.01</v>
      </c>
      <c r="K13" s="32">
        <v>42.12</v>
      </c>
      <c r="L13" s="32">
        <v>39.49</v>
      </c>
      <c r="M13" s="32">
        <v>41.16</v>
      </c>
      <c r="N13" s="32">
        <v>40.15</v>
      </c>
      <c r="O13" s="32">
        <v>37.18</v>
      </c>
      <c r="P13" s="32">
        <v>40.869428571428571</v>
      </c>
      <c r="Q13" s="32">
        <v>40.235111111111109</v>
      </c>
      <c r="R13" s="32">
        <v>39.54971428571428</v>
      </c>
      <c r="S13" s="32">
        <v>39.729999999999997</v>
      </c>
      <c r="T13" s="32">
        <v>40.983375000000002</v>
      </c>
      <c r="U13" s="32">
        <v>38.979999999999997</v>
      </c>
      <c r="V13" s="32">
        <v>40.439142857142862</v>
      </c>
      <c r="W13" s="32">
        <v>39.432857142857138</v>
      </c>
      <c r="X13" s="32">
        <v>38.950000000000003</v>
      </c>
      <c r="Y13" s="32">
        <v>40.603000000000002</v>
      </c>
      <c r="Z13" s="32">
        <v>41.211699999999993</v>
      </c>
      <c r="AA13" s="32">
        <v>39.909333333333329</v>
      </c>
      <c r="AB13" s="32">
        <v>41.345627777777779</v>
      </c>
      <c r="AC13" s="51">
        <v>39.58</v>
      </c>
      <c r="AD13" s="51">
        <v>39.53</v>
      </c>
      <c r="AE13" s="51">
        <v>34.299999999999997</v>
      </c>
    </row>
    <row r="14" spans="1:31" ht="18" x14ac:dyDescent="0.2">
      <c r="A14" s="37" t="s">
        <v>73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51"/>
      <c r="AD14" s="51"/>
      <c r="AE14" s="51"/>
    </row>
    <row r="15" spans="1:31" x14ac:dyDescent="0.2">
      <c r="A15" s="37" t="s">
        <v>4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4.13</v>
      </c>
      <c r="I15" s="32">
        <v>0</v>
      </c>
      <c r="J15" s="32">
        <v>4.29</v>
      </c>
      <c r="K15" s="32">
        <v>4.47</v>
      </c>
      <c r="L15" s="32"/>
      <c r="M15" s="32"/>
      <c r="N15" s="32"/>
      <c r="O15" s="32"/>
      <c r="P15" s="32">
        <v>2.7001999999999997</v>
      </c>
      <c r="Q15" s="32">
        <v>0</v>
      </c>
      <c r="R15" s="32">
        <v>0</v>
      </c>
      <c r="S15" s="32">
        <v>3.88</v>
      </c>
      <c r="T15" s="32">
        <v>0</v>
      </c>
      <c r="U15" s="32">
        <v>0</v>
      </c>
      <c r="V15" s="32">
        <v>3.3239999999999998</v>
      </c>
      <c r="W15" s="32">
        <v>0</v>
      </c>
      <c r="X15" s="32">
        <v>0</v>
      </c>
      <c r="Y15" s="32">
        <v>2.9540000000000002</v>
      </c>
      <c r="Z15" s="32">
        <v>3.0472000000000001</v>
      </c>
      <c r="AA15" s="32"/>
      <c r="AB15" s="32">
        <v>3.6690450000000001</v>
      </c>
      <c r="AC15" s="51">
        <v>3.81</v>
      </c>
      <c r="AD15" s="51">
        <v>4.3600000000000003</v>
      </c>
      <c r="AE15" s="51"/>
    </row>
    <row r="16" spans="1:31" x14ac:dyDescent="0.2">
      <c r="A16" s="37" t="s">
        <v>5</v>
      </c>
      <c r="B16" s="32">
        <v>0.31</v>
      </c>
      <c r="C16" s="32">
        <v>0.54</v>
      </c>
      <c r="D16" s="32">
        <v>0.47</v>
      </c>
      <c r="E16" s="32">
        <v>0.06</v>
      </c>
      <c r="F16" s="32">
        <v>0.1</v>
      </c>
      <c r="G16" s="32">
        <v>7.0000000000000007E-2</v>
      </c>
      <c r="H16" s="32">
        <v>0.02</v>
      </c>
      <c r="I16" s="32">
        <v>0.02</v>
      </c>
      <c r="J16" s="32">
        <v>7.0000000000000007E-2</v>
      </c>
      <c r="K16" s="32">
        <v>0.05</v>
      </c>
      <c r="L16" s="32"/>
      <c r="M16" s="32"/>
      <c r="N16" s="32"/>
      <c r="O16" s="32"/>
      <c r="P16" s="32">
        <v>0.04</v>
      </c>
      <c r="Q16" s="32">
        <v>4.1666666666666671E-2</v>
      </c>
      <c r="R16" s="32">
        <v>4.6461428571428574</v>
      </c>
      <c r="S16" s="32">
        <v>0.01</v>
      </c>
      <c r="T16" s="32">
        <v>0.25212499999999999</v>
      </c>
      <c r="U16" s="32">
        <v>5.93</v>
      </c>
      <c r="V16" s="32">
        <v>1.9714285714285715E-2</v>
      </c>
      <c r="W16" s="32">
        <v>0.28737499999999999</v>
      </c>
      <c r="X16" s="32">
        <v>5.89</v>
      </c>
      <c r="Y16" s="32">
        <v>2.6499999999999996E-2</v>
      </c>
      <c r="Z16" s="32">
        <v>2.5500000000000002E-2</v>
      </c>
      <c r="AA16" s="32">
        <v>4.05</v>
      </c>
      <c r="AB16" s="32">
        <v>0.14173672222222222</v>
      </c>
      <c r="AC16" s="51">
        <v>0.02</v>
      </c>
      <c r="AD16" s="51">
        <v>0.04</v>
      </c>
      <c r="AE16" s="51">
        <v>1.1000000000000001</v>
      </c>
    </row>
    <row r="17" spans="1:31" x14ac:dyDescent="0.2">
      <c r="A17" s="29" t="s">
        <v>8</v>
      </c>
      <c r="B17" s="32">
        <f>SUM(B4:B16)</f>
        <v>96.509999999999991</v>
      </c>
      <c r="C17" s="32">
        <f t="shared" ref="C17:AE17" si="0">SUM(C4:C16)</f>
        <v>96.51</v>
      </c>
      <c r="D17" s="32">
        <f t="shared" si="0"/>
        <v>96.53</v>
      </c>
      <c r="E17" s="32">
        <f t="shared" si="0"/>
        <v>96.41</v>
      </c>
      <c r="F17" s="32">
        <f t="shared" si="0"/>
        <v>96.41</v>
      </c>
      <c r="G17" s="32">
        <f t="shared" si="0"/>
        <v>96.769999999999982</v>
      </c>
      <c r="H17" s="32">
        <f t="shared" si="0"/>
        <v>101.86999999999999</v>
      </c>
      <c r="I17" s="32">
        <f t="shared" si="0"/>
        <v>96.45</v>
      </c>
      <c r="J17" s="32">
        <f t="shared" si="0"/>
        <v>101.64</v>
      </c>
      <c r="K17" s="32">
        <f t="shared" si="0"/>
        <v>102.02999999999999</v>
      </c>
      <c r="L17" s="32">
        <f t="shared" si="0"/>
        <v>91.81</v>
      </c>
      <c r="M17" s="32">
        <f t="shared" si="0"/>
        <v>95.549999999999983</v>
      </c>
      <c r="N17" s="32">
        <f t="shared" si="0"/>
        <v>93.64</v>
      </c>
      <c r="O17" s="32">
        <f t="shared" si="0"/>
        <v>88.79</v>
      </c>
      <c r="P17" s="32">
        <f t="shared" si="0"/>
        <v>99.923342857142856</v>
      </c>
      <c r="Q17" s="32">
        <f t="shared" si="0"/>
        <v>96.774999999999991</v>
      </c>
      <c r="R17" s="32">
        <f t="shared" si="0"/>
        <v>99.255571428571429</v>
      </c>
      <c r="S17" s="32">
        <f t="shared" si="0"/>
        <v>100.021</v>
      </c>
      <c r="T17" s="32">
        <f t="shared" si="0"/>
        <v>98.664625000000015</v>
      </c>
      <c r="U17" s="32">
        <f t="shared" si="0"/>
        <v>99.65</v>
      </c>
      <c r="V17" s="32">
        <f t="shared" si="0"/>
        <v>98.726428571428571</v>
      </c>
      <c r="W17" s="32">
        <f t="shared" si="0"/>
        <v>96.764517857142849</v>
      </c>
      <c r="X17" s="32">
        <f t="shared" si="0"/>
        <v>100.12</v>
      </c>
      <c r="Y17" s="32">
        <f t="shared" si="0"/>
        <v>98.272499999999994</v>
      </c>
      <c r="Z17" s="32">
        <f t="shared" si="0"/>
        <v>100.41389999999998</v>
      </c>
      <c r="AA17" s="32">
        <f t="shared" si="0"/>
        <v>98.725833333333327</v>
      </c>
      <c r="AB17" s="32">
        <f t="shared" si="0"/>
        <v>99.534990611111098</v>
      </c>
      <c r="AC17" s="32">
        <f t="shared" si="0"/>
        <v>99.11</v>
      </c>
      <c r="AD17" s="32">
        <f t="shared" si="0"/>
        <v>99.69</v>
      </c>
      <c r="AE17" s="32">
        <f t="shared" si="0"/>
        <v>84.699999999999989</v>
      </c>
    </row>
    <row r="18" spans="1:31" x14ac:dyDescent="0.2">
      <c r="A18" s="29"/>
      <c r="B18" s="31"/>
    </row>
    <row r="19" spans="1:31" x14ac:dyDescent="0.2">
      <c r="A19" s="38" t="s">
        <v>76</v>
      </c>
      <c r="B19" s="31">
        <v>1250</v>
      </c>
      <c r="C19" s="33">
        <v>1250</v>
      </c>
      <c r="D19" s="33">
        <v>1250</v>
      </c>
      <c r="E19" s="33">
        <v>1250</v>
      </c>
      <c r="F19" s="33">
        <v>1250</v>
      </c>
      <c r="G19" s="33">
        <v>1250</v>
      </c>
      <c r="H19" s="33">
        <v>1250</v>
      </c>
      <c r="I19" s="33">
        <v>1250</v>
      </c>
      <c r="J19" s="33">
        <v>1250</v>
      </c>
      <c r="K19" s="33">
        <v>1250</v>
      </c>
      <c r="L19" s="33">
        <v>1080</v>
      </c>
      <c r="M19" s="33">
        <v>1080</v>
      </c>
      <c r="N19" s="33">
        <v>1080</v>
      </c>
      <c r="O19" s="33">
        <v>1080</v>
      </c>
      <c r="P19" s="33">
        <v>1050</v>
      </c>
      <c r="Q19" s="33">
        <v>1050</v>
      </c>
      <c r="R19" s="33">
        <v>1050</v>
      </c>
      <c r="S19" s="33">
        <v>1100</v>
      </c>
      <c r="T19" s="33">
        <v>1100</v>
      </c>
      <c r="U19" s="33">
        <v>1100</v>
      </c>
      <c r="V19" s="33">
        <v>1100</v>
      </c>
      <c r="W19" s="33">
        <v>1100</v>
      </c>
      <c r="X19" s="33">
        <v>1100</v>
      </c>
      <c r="Y19" s="33">
        <v>1100</v>
      </c>
      <c r="Z19" s="33">
        <v>1100</v>
      </c>
      <c r="AA19" s="33">
        <v>1100</v>
      </c>
      <c r="AB19" s="33">
        <v>950</v>
      </c>
      <c r="AC19" s="33">
        <v>1150</v>
      </c>
      <c r="AD19" s="33">
        <v>1110</v>
      </c>
      <c r="AE19" s="33">
        <v>800</v>
      </c>
    </row>
    <row r="21" spans="1:31" x14ac:dyDescent="0.2">
      <c r="A21" s="53" t="s">
        <v>74</v>
      </c>
      <c r="B21" s="31"/>
    </row>
    <row r="22" spans="1:31" x14ac:dyDescent="0.2">
      <c r="A22" s="28" t="s">
        <v>58</v>
      </c>
      <c r="B22" s="30">
        <f>B4/60.08*2*(26-(27-26*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/(2-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)/(B4/60.08*2+B5/79.87*2+B6/101.96*3+B7/71.85*1+B8/70.94*1+B9/40.3*1+B10/56.08*1+B11/61.98*1+B12/94.2*1+B13/141.94*5+B14/152*3+B15/19/2+B16/35.5/2)/2*1</f>
        <v>5.2805505664213388E-2</v>
      </c>
      <c r="C22" s="30">
        <f>C4/60.08*2*(26-(27-26*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/(2-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)/(C4/60.08*2+C5/79.87*2+C6/101.96*3+C7/71.85*1+C8/70.94*1+C9/40.3*1+C10/56.08*1+C11/61.98*1+C12/94.2*1+C13/141.94*5+C14/152*3+C15/19/2+C16/35.5/2)/2*1</f>
        <v>5.6444557191881038E-2</v>
      </c>
      <c r="D22" s="30">
        <f>D4/60.08*2*(26-(27-26*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/(2-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)/(D4/60.08*2+D5/79.87*2+D6/101.96*3+D7/71.85*1+D8/70.94*1+D9/40.3*1+D10/56.08*1+D11/61.98*1+D12/94.2*1+D13/141.94*5+D14/152*3+D15/19/2+D16/35.5/2)/2*1</f>
        <v>4.4385780442400186E-2</v>
      </c>
      <c r="E22" s="30">
        <f>E4/60.08*2*(26-(27-26*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/(2-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)/(E4/60.08*2+E5/79.87*2+E6/101.96*3+E7/71.85*1+E8/70.94*1+E9/40.3*1+E10/56.08*1+E11/61.98*1+E12/94.2*1+E13/141.94*5+E14/152*3+E15/19/2+E16/35.5/2)/2*1</f>
        <v>9.3770683295034032E-2</v>
      </c>
      <c r="F22" s="30">
        <f t="shared" ref="F22:N22" si="1">F4/60.08*2*(26-(27-26*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/(2-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)/(F4/60.08*2+F5/79.87*2+F6/101.96*3+F7/71.85*1+F8/70.94*1+F9/40.3*1+F10/56.08*1+F11/61.98*1+F12/94.2*1+F13/141.94*5+F14/152*3+F15/19/2+F16/35.5/2)/2*1</f>
        <v>0.14980919366431039</v>
      </c>
      <c r="G22" s="30">
        <f t="shared" si="1"/>
        <v>7.6349511243600052E-2</v>
      </c>
      <c r="H22" s="30">
        <f t="shared" si="1"/>
        <v>0.10543260162252795</v>
      </c>
      <c r="I22" s="30">
        <f t="shared" si="1"/>
        <v>0.10031587711902165</v>
      </c>
      <c r="J22" s="30">
        <f t="shared" si="1"/>
        <v>2.5294642867235907E-2</v>
      </c>
      <c r="K22" s="30">
        <f t="shared" si="1"/>
        <v>4.2022783575433049E-2</v>
      </c>
      <c r="L22" s="30">
        <f t="shared" si="1"/>
        <v>0.19193005813297312</v>
      </c>
      <c r="M22" s="30">
        <f t="shared" si="1"/>
        <v>5.1461104363561203E-2</v>
      </c>
      <c r="N22" s="30">
        <f t="shared" si="1"/>
        <v>8.9263248667927397E-2</v>
      </c>
      <c r="O22" s="30">
        <f t="shared" ref="O22:AE22" si="2">O4/60.08*2*(26-(27-26*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/(2-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)/(O4/60.08*2+O5/79.87*2+O6/101.96*3+O7/71.85*1+O8/70.94*1+O9/40.3*1+O10/56.08*1+O11/61.98*1+O12/94.2*1+O13/141.94*5+O14/152*3+O15/19/2+O16/35.5/2)/2*1</f>
        <v>0.36441397711840162</v>
      </c>
      <c r="P22" s="30">
        <f t="shared" si="2"/>
        <v>0.1103242095789239</v>
      </c>
      <c r="Q22" s="30">
        <f t="shared" si="2"/>
        <v>0.13523789949445947</v>
      </c>
      <c r="R22" s="30">
        <f t="shared" si="2"/>
        <v>0.16209118702748934</v>
      </c>
      <c r="S22" s="30">
        <f t="shared" si="2"/>
        <v>0.1397417284345214</v>
      </c>
      <c r="T22" s="30">
        <f t="shared" si="2"/>
        <v>0.10755613389892388</v>
      </c>
      <c r="U22" s="30">
        <f t="shared" si="2"/>
        <v>0.32307121700517311</v>
      </c>
      <c r="V22" s="30">
        <f t="shared" si="2"/>
        <v>9.1090928255736142E-2</v>
      </c>
      <c r="W22" s="30">
        <f t="shared" si="2"/>
        <v>0.32074836467181206</v>
      </c>
      <c r="X22" s="30">
        <f t="shared" si="2"/>
        <v>0.2385701694234835</v>
      </c>
      <c r="Y22" s="30">
        <f t="shared" si="2"/>
        <v>7.3679624464174351E-2</v>
      </c>
      <c r="Z22" s="30">
        <f t="shared" si="2"/>
        <v>9.1280228123587992E-2</v>
      </c>
      <c r="AA22" s="30">
        <f t="shared" si="2"/>
        <v>0.10463325535903084</v>
      </c>
      <c r="AB22" s="30">
        <f t="shared" si="2"/>
        <v>8.2429093774303186E-2</v>
      </c>
      <c r="AC22" s="30">
        <f t="shared" si="2"/>
        <v>0.11425375383148907</v>
      </c>
      <c r="AD22" s="30">
        <f t="shared" si="2"/>
        <v>0.11592060668683836</v>
      </c>
      <c r="AE22" s="30">
        <f t="shared" si="2"/>
        <v>0.56595684959513048</v>
      </c>
    </row>
    <row r="23" spans="1:31" x14ac:dyDescent="0.2">
      <c r="A23" s="28" t="s">
        <v>59</v>
      </c>
      <c r="B23" s="30">
        <f>B5/79.87*2*(26-(27-26*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/(2-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)/(B4/60.08*2+B5/79.87*2+B6/101.96*3+B7/71.85*1+B8/70.94*1+B9/40.3*1+B10/56.08*1+B11/61.98*1+B12/94.2*1+B13/141.94*5+B14/152*3+B15/19/2+B16/35.5/2)/2*1</f>
        <v>0</v>
      </c>
      <c r="C23" s="30">
        <f>C5/79.87*2*(26-(27-26*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/(2-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)/(C4/60.08*2+C5/79.87*2+C6/101.96*3+C7/71.85*1+C8/70.94*1+C9/40.3*1+C10/56.08*1+C11/61.98*1+C12/94.2*1+C13/141.94*5+C14/152*3+C15/19/2+C16/35.5/2)/2*1</f>
        <v>0</v>
      </c>
      <c r="D23" s="30">
        <f>D5/79.87*2*(26-(27-26*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/(2-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)/(D4/60.08*2+D5/79.87*2+D6/101.96*3+D7/71.85*1+D8/70.94*1+D9/40.3*1+D10/56.08*1+D11/61.98*1+D12/94.2*1+D13/141.94*5+D14/152*3+D15/19/2+D16/35.5/2)/2*1</f>
        <v>0</v>
      </c>
      <c r="E23" s="30">
        <f>E5/79.87*2*(26-(27-26*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/(2-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)/(E4/60.08*2+E5/79.87*2+E6/101.96*3+E7/71.85*1+E8/70.94*1+E9/40.3*1+E10/56.08*1+E11/61.98*1+E12/94.2*1+E13/141.94*5+E14/152*3+E15/19/2+E16/35.5/2)/2*1</f>
        <v>0</v>
      </c>
      <c r="F23" s="30">
        <f t="shared" ref="F23:N23" si="3">F5/79.87*2*(26-(27-26*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/(2-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)/(F4/60.08*2+F5/79.87*2+F6/101.96*3+F7/71.85*1+F8/70.94*1+F9/40.3*1+F10/56.08*1+F11/61.98*1+F12/94.2*1+F13/141.94*5+F14/152*3+F15/19/2+F16/35.5/2)/2*1</f>
        <v>0</v>
      </c>
      <c r="G23" s="30">
        <f t="shared" si="3"/>
        <v>0</v>
      </c>
      <c r="H23" s="30">
        <f t="shared" si="3"/>
        <v>0</v>
      </c>
      <c r="I23" s="30">
        <f t="shared" si="3"/>
        <v>0</v>
      </c>
      <c r="J23" s="30">
        <f t="shared" si="3"/>
        <v>0</v>
      </c>
      <c r="K23" s="30">
        <f t="shared" si="3"/>
        <v>0</v>
      </c>
      <c r="L23" s="30">
        <f t="shared" si="3"/>
        <v>0</v>
      </c>
      <c r="M23" s="30">
        <f t="shared" si="3"/>
        <v>0</v>
      </c>
      <c r="N23" s="30">
        <f t="shared" si="3"/>
        <v>0</v>
      </c>
      <c r="O23" s="30">
        <f t="shared" ref="O23:AE23" si="4">O5/79.87*2*(26-(27-26*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/(2-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)/(O4/60.08*2+O5/79.87*2+O6/101.96*3+O7/71.85*1+O8/70.94*1+O9/40.3*1+O10/56.08*1+O11/61.98*1+O12/94.2*1+O13/141.94*5+O14/152*3+O15/19/2+O16/35.5/2)/2*1</f>
        <v>0</v>
      </c>
      <c r="P23" s="30">
        <f t="shared" si="4"/>
        <v>5.5885632168325861E-3</v>
      </c>
      <c r="Q23" s="30">
        <f t="shared" si="4"/>
        <v>9.1621928150859826E-3</v>
      </c>
      <c r="R23" s="30">
        <f t="shared" si="4"/>
        <v>4.6794428558851837E-3</v>
      </c>
      <c r="S23" s="30">
        <f t="shared" si="4"/>
        <v>9.0841724763268579E-3</v>
      </c>
      <c r="T23" s="30">
        <f t="shared" si="4"/>
        <v>5.2575523260699874E-3</v>
      </c>
      <c r="U23" s="30">
        <f t="shared" si="4"/>
        <v>6.6038422210789533E-3</v>
      </c>
      <c r="V23" s="30">
        <f t="shared" si="4"/>
        <v>7.1452989605460607E-3</v>
      </c>
      <c r="W23" s="30">
        <f t="shared" si="4"/>
        <v>1.826802696321676E-2</v>
      </c>
      <c r="X23" s="30">
        <f t="shared" si="4"/>
        <v>9.2367993626352573E-3</v>
      </c>
      <c r="Y23" s="30">
        <f t="shared" si="4"/>
        <v>2.3625957213764689E-3</v>
      </c>
      <c r="Z23" s="30">
        <f t="shared" si="4"/>
        <v>3.2108152241817297E-3</v>
      </c>
      <c r="AA23" s="30">
        <f t="shared" si="4"/>
        <v>4.0654235607401274E-3</v>
      </c>
      <c r="AB23" s="30">
        <f t="shared" si="4"/>
        <v>0</v>
      </c>
      <c r="AC23" s="30">
        <f t="shared" si="4"/>
        <v>2.6043705605684475E-3</v>
      </c>
      <c r="AD23" s="30">
        <f t="shared" si="4"/>
        <v>5.2058550740066399E-3</v>
      </c>
      <c r="AE23" s="30">
        <f t="shared" si="4"/>
        <v>0</v>
      </c>
    </row>
    <row r="24" spans="1:31" x14ac:dyDescent="0.2">
      <c r="A24" s="28" t="s">
        <v>60</v>
      </c>
      <c r="B24" s="30">
        <f>B6/101.96*3*(26-(27-26*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/(2-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)/(B4/60.08*2+B5/79.87*2+B6/101.96*3+B7/71.85*1+B8/70.94*1+B9/40.3*1+B10/56.08*1+B11/61.98*1+B12/94.2*1+B13/141.94*5+B14/152*3+B15/19/2+B16/35.5/2)/3*2</f>
        <v>0</v>
      </c>
      <c r="C24" s="30">
        <f>C6/101.96*3*(26-(27-26*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/(2-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)/(C4/60.08*2+C5/79.87*2+C6/101.96*3+C7/71.85*1+C8/70.94*1+C9/40.3*1+C10/56.08*1+C11/61.98*1+C12/94.2*1+C13/141.94*5+C14/152*3+C15/19/2+C16/35.5/2)/3*2</f>
        <v>2.015757216786269E-3</v>
      </c>
      <c r="D24" s="30">
        <f>D6/101.96*3*(26-(27-26*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/(2-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)/(D4/60.08*2+D5/79.87*2+D6/101.96*3+D7/71.85*1+D8/70.94*1+D9/40.3*1+D10/56.08*1+D11/61.98*1+D12/94.2*1+D13/141.94*5+D14/152*3+D15/19/2+D16/35.5/2)/3*2</f>
        <v>4.0237463997637125E-3</v>
      </c>
      <c r="E24" s="30">
        <f>E6/101.96*3*(26-(27-26*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/(2-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)/(E4/60.08*2+E5/79.87*2+E6/101.96*3+E7/71.85*1+E8/70.94*1+E9/40.3*1+E10/56.08*1+E11/61.98*1+E12/94.2*1+E13/141.94*5+E14/152*3+E15/19/2+E16/35.5/2)/3*2</f>
        <v>8.0370093831672231E-3</v>
      </c>
      <c r="F24" s="30">
        <f t="shared" ref="F24:N24" si="5">F6/101.96*3*(26-(27-26*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/(2-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)/(F4/60.08*2+F5/79.87*2+F6/101.96*3+F7/71.85*1+F8/70.94*1+F9/40.3*1+F10/56.08*1+F11/61.98*1+F12/94.2*1+F13/141.94*5+F14/152*3+F15/19/2+F16/35.5/2)/3*2</f>
        <v>8.0250154742963088E-3</v>
      </c>
      <c r="G24" s="30">
        <f t="shared" si="5"/>
        <v>1.9995111963364682E-3</v>
      </c>
      <c r="H24" s="30">
        <f t="shared" si="5"/>
        <v>1.9722613615926195E-3</v>
      </c>
      <c r="I24" s="30">
        <f t="shared" si="5"/>
        <v>0</v>
      </c>
      <c r="J24" s="30">
        <f t="shared" si="5"/>
        <v>1.9873180900530055E-3</v>
      </c>
      <c r="K24" s="30">
        <f t="shared" si="5"/>
        <v>1.9809563257842428E-3</v>
      </c>
      <c r="L24" s="30">
        <f t="shared" si="5"/>
        <v>0</v>
      </c>
      <c r="M24" s="30">
        <f t="shared" si="5"/>
        <v>0</v>
      </c>
      <c r="N24" s="30">
        <f t="shared" si="5"/>
        <v>0</v>
      </c>
      <c r="O24" s="30">
        <f t="shared" ref="O24:AE24" si="6">O6/101.96*3*(26-(27-26*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/(2-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)/(O4/60.08*2+O5/79.87*2+O6/101.96*3+O7/71.85*1+O8/70.94*1+O9/40.3*1+O10/56.08*1+O11/61.98*1+O12/94.2*1+O13/141.94*5+O14/152*3+O15/19/2+O16/35.5/2)/3*2</f>
        <v>0</v>
      </c>
      <c r="P24" s="30">
        <f t="shared" si="6"/>
        <v>4.9500398807052655E-3</v>
      </c>
      <c r="Q24" s="30">
        <f t="shared" si="6"/>
        <v>7.8276019612219319E-3</v>
      </c>
      <c r="R24" s="30">
        <f t="shared" si="6"/>
        <v>1.4986369515556994E-2</v>
      </c>
      <c r="S24" s="30">
        <f t="shared" si="6"/>
        <v>4.0663165145111597E-3</v>
      </c>
      <c r="T24" s="30">
        <f t="shared" si="6"/>
        <v>1.4563557490903841E-2</v>
      </c>
      <c r="U24" s="30">
        <f t="shared" si="6"/>
        <v>8.276953757513944E-3</v>
      </c>
      <c r="V24" s="30">
        <f t="shared" si="6"/>
        <v>1.1746943864079158E-2</v>
      </c>
      <c r="W24" s="30">
        <f t="shared" si="6"/>
        <v>9.5113067556101914E-3</v>
      </c>
      <c r="X24" s="30">
        <f t="shared" si="6"/>
        <v>8.2692727130379198E-3</v>
      </c>
      <c r="Y24" s="30">
        <f t="shared" si="6"/>
        <v>8.3197993574117834E-3</v>
      </c>
      <c r="Z24" s="30">
        <f t="shared" si="6"/>
        <v>1.7965575572731238E-2</v>
      </c>
      <c r="AA24" s="30">
        <f t="shared" si="6"/>
        <v>5.6159154007892099E-3</v>
      </c>
      <c r="AB24" s="30">
        <f t="shared" si="6"/>
        <v>0</v>
      </c>
      <c r="AC24" s="30">
        <f t="shared" si="6"/>
        <v>6.1203729895822449E-3</v>
      </c>
      <c r="AD24" s="30">
        <f t="shared" si="6"/>
        <v>2.2428933367840399E-2</v>
      </c>
      <c r="AE24" s="30">
        <f t="shared" si="6"/>
        <v>0</v>
      </c>
    </row>
    <row r="25" spans="1:31" x14ac:dyDescent="0.2">
      <c r="A25" s="28" t="s">
        <v>61</v>
      </c>
      <c r="B25" s="30">
        <f>B7/71.85*1*(26-(27-26*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/(2-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)/(B4/60.08*2+B5/79.87*2+B6/101.96*3+B7/71.85*1+B8/70.94*1+B9/40.3*1+B10/56.08*1+B11/61.98*1+B12/94.2*1+B13/141.94*5+B14/152*3+B15/19/2+B16/35.5/2)/1*1</f>
        <v>0</v>
      </c>
      <c r="C25" s="30">
        <f>C7/71.85*1*(26-(27-26*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/(2-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)/(C4/60.08*2+C5/79.87*2+C6/101.96*3+C7/71.85*1+C8/70.94*1+C9/40.3*1+C10/56.08*1+C11/61.98*1+C12/94.2*1+C13/141.94*5+C14/152*3+C15/19/2+C16/35.5/2)/1*1</f>
        <v>2.8604955577387339E-3</v>
      </c>
      <c r="D25" s="30">
        <f>D7/71.85*1*(26-(27-26*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/(2-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)/(D4/60.08*2+D5/79.87*2+D6/101.96*3+D7/71.85*1+D8/70.94*1+D9/40.3*1+D10/56.08*1+D11/61.98*1+D12/94.2*1+D13/141.94*5+D14/152*3+D15/19/2+D16/35.5/2)/1*1</f>
        <v>4.2824758133602108E-3</v>
      </c>
      <c r="E25" s="30">
        <f>E7/71.85*1*(26-(27-26*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/(2-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)/(E4/60.08*2+E5/79.87*2+E6/101.96*3+E7/71.85*1+E8/70.94*1+E9/40.3*1+E10/56.08*1+E11/61.98*1+E12/94.2*1+E13/141.94*5+E14/152*3+E15/19/2+E16/35.5/2)/1*1</f>
        <v>2.8512647067074812E-3</v>
      </c>
      <c r="F25" s="30">
        <f t="shared" ref="F25:N25" si="7">F7/71.85*1*(26-(27-26*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/(2-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)/(F4/60.08*2+F5/79.87*2+F6/101.96*3+F7/71.85*1+F8/70.94*1+F9/40.3*1+F10/56.08*1+F11/61.98*1+F12/94.2*1+F13/141.94*5+F14/152*3+F15/19/2+F16/35.5/2)/1*1</f>
        <v>2.7046591818764412E-2</v>
      </c>
      <c r="G25" s="30">
        <f t="shared" si="7"/>
        <v>4.1142899692244411E-2</v>
      </c>
      <c r="H25" s="30">
        <f t="shared" si="7"/>
        <v>2.7987720031730479E-3</v>
      </c>
      <c r="I25" s="30">
        <f t="shared" si="7"/>
        <v>1.421742070299664E-3</v>
      </c>
      <c r="J25" s="30">
        <f t="shared" si="7"/>
        <v>0</v>
      </c>
      <c r="K25" s="30">
        <f t="shared" si="7"/>
        <v>0</v>
      </c>
      <c r="L25" s="30">
        <f t="shared" si="7"/>
        <v>9.064674752575716E-2</v>
      </c>
      <c r="M25" s="30">
        <f t="shared" si="7"/>
        <v>9.0365269524589981E-2</v>
      </c>
      <c r="N25" s="30">
        <f t="shared" si="7"/>
        <v>8.34219850336997E-2</v>
      </c>
      <c r="O25" s="30">
        <f t="shared" ref="O25:AE25" si="8">O7/71.85*1*(26-(27-26*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/(2-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)/(O4/60.08*2+O5/79.87*2+O6/101.96*3+O7/71.85*1+O8/70.94*1+O9/40.3*1+O10/56.08*1+O11/61.98*1+O12/94.2*1+O13/141.94*5+O14/152*3+O15/19/2+O16/35.5/2)/1*1</f>
        <v>9.8494722569994198E-2</v>
      </c>
      <c r="P25" s="30">
        <f t="shared" si="8"/>
        <v>0.21787947364863208</v>
      </c>
      <c r="Q25" s="30">
        <f t="shared" si="8"/>
        <v>0.28511326195991393</v>
      </c>
      <c r="R25" s="30">
        <f t="shared" si="8"/>
        <v>0.36090666997233867</v>
      </c>
      <c r="S25" s="30">
        <f t="shared" si="8"/>
        <v>0.24524104874504118</v>
      </c>
      <c r="T25" s="30">
        <f t="shared" si="8"/>
        <v>0.28584787568439785</v>
      </c>
      <c r="U25" s="30">
        <f t="shared" si="8"/>
        <v>0.29657529128993837</v>
      </c>
      <c r="V25" s="30">
        <f t="shared" si="8"/>
        <v>0.15000672571587476</v>
      </c>
      <c r="W25" s="30">
        <f t="shared" si="8"/>
        <v>0.21632308613676887</v>
      </c>
      <c r="X25" s="30">
        <f t="shared" si="8"/>
        <v>0.24642777957200099</v>
      </c>
      <c r="Y25" s="30">
        <f t="shared" si="8"/>
        <v>0.22899513443671282</v>
      </c>
      <c r="Z25" s="30">
        <f t="shared" si="8"/>
        <v>0.21685789667898561</v>
      </c>
      <c r="AA25" s="30">
        <f t="shared" si="8"/>
        <v>0.20030313683980311</v>
      </c>
      <c r="AB25" s="30">
        <f t="shared" si="8"/>
        <v>3.3159020686739885E-2</v>
      </c>
      <c r="AC25" s="30">
        <f t="shared" si="8"/>
        <v>2.0265518952097612E-2</v>
      </c>
      <c r="AD25" s="30">
        <f t="shared" si="8"/>
        <v>1.8807555260583978E-2</v>
      </c>
      <c r="AE25" s="30">
        <f t="shared" si="8"/>
        <v>0</v>
      </c>
    </row>
    <row r="26" spans="1:31" x14ac:dyDescent="0.2">
      <c r="A26" s="28" t="s">
        <v>62</v>
      </c>
      <c r="B26" s="30">
        <f>B8/70.94*1*(26-(27-26*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/(2-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)/(B4/60.08*2+B5/79.87*2+B6/101.96*3+B7/71.85*1+B8/70.94*1+B9/40.3*1+B10/56.08*1+B11/61.98*1+B12/94.2*1+B13/141.94*5+B14/152*3+B15/19/2+B16/35.5/2)/1*1</f>
        <v>0</v>
      </c>
      <c r="C26" s="30">
        <f>C8/70.94*1*(26-(27-26*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/(2-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)/(C4/60.08*2+C5/79.87*2+C6/101.96*3+C7/71.85*1+C8/70.94*1+C9/40.3*1+C10/56.08*1+C11/61.98*1+C12/94.2*1+C13/141.94*5+C14/152*3+C15/19/2+C16/35.5/2)/1*1</f>
        <v>0</v>
      </c>
      <c r="D26" s="30">
        <f>D8/70.94*1*(26-(27-26*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/(2-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)/(D4/60.08*2+D5/79.87*2+D6/101.96*3+D7/71.85*1+D8/70.94*1+D9/40.3*1+D10/56.08*1+D11/61.98*1+D12/94.2*1+D13/141.94*5+D14/152*3+D15/19/2+D16/35.5/2)/1*1</f>
        <v>0</v>
      </c>
      <c r="E26" s="30">
        <f>E8/70.94*1*(26-(27-26*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/(2-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)/(E4/60.08*2+E5/79.87*2+E6/101.96*3+E7/71.85*1+E8/70.94*1+E9/40.3*1+E10/56.08*1+E11/61.98*1+E12/94.2*1+E13/141.94*5+E14/152*3+E15/19/2+E16/35.5/2)/1*1</f>
        <v>0</v>
      </c>
      <c r="F26" s="30">
        <f t="shared" ref="F26:N26" si="9">F8/70.94*1*(26-(27-26*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/(2-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)/(F4/60.08*2+F5/79.87*2+F6/101.96*3+F7/71.85*1+F8/70.94*1+F9/40.3*1+F10/56.08*1+F11/61.98*1+F12/94.2*1+F13/141.94*5+F14/152*3+F15/19/2+F16/35.5/2)/1*1</f>
        <v>0</v>
      </c>
      <c r="G26" s="30">
        <f t="shared" si="9"/>
        <v>0</v>
      </c>
      <c r="H26" s="30">
        <f t="shared" si="9"/>
        <v>0</v>
      </c>
      <c r="I26" s="30">
        <f t="shared" si="9"/>
        <v>0</v>
      </c>
      <c r="J26" s="30">
        <f t="shared" si="9"/>
        <v>0</v>
      </c>
      <c r="K26" s="30">
        <f t="shared" si="9"/>
        <v>0</v>
      </c>
      <c r="L26" s="30">
        <f t="shared" si="9"/>
        <v>0</v>
      </c>
      <c r="M26" s="30">
        <f t="shared" si="9"/>
        <v>0</v>
      </c>
      <c r="N26" s="30">
        <f t="shared" si="9"/>
        <v>0</v>
      </c>
      <c r="O26" s="30">
        <f t="shared" ref="O26:AE26" si="10">O8/70.94*1*(26-(27-26*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/(2-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)/(O4/60.08*2+O5/79.87*2+O6/101.96*3+O7/71.85*1+O8/70.94*1+O9/40.3*1+O10/56.08*1+O11/61.98*1+O12/94.2*1+O13/141.94*5+O14/152*3+O15/19/2+O16/35.5/2)/1*1</f>
        <v>0</v>
      </c>
      <c r="P26" s="30">
        <f t="shared" si="10"/>
        <v>3.658029385066533E-2</v>
      </c>
      <c r="Q26" s="30">
        <f t="shared" si="10"/>
        <v>4.297066735127586E-2</v>
      </c>
      <c r="R26" s="30">
        <f t="shared" si="10"/>
        <v>5.8143882735450535E-2</v>
      </c>
      <c r="S26" s="30">
        <f t="shared" si="10"/>
        <v>3.3605291555715497E-2</v>
      </c>
      <c r="T26" s="30">
        <f t="shared" si="10"/>
        <v>2.9703868759609672E-2</v>
      </c>
      <c r="U26" s="30">
        <f t="shared" si="10"/>
        <v>4.6097872072525678E-2</v>
      </c>
      <c r="V26" s="30">
        <f t="shared" si="10"/>
        <v>3.6713343420222547E-2</v>
      </c>
      <c r="W26" s="30">
        <f t="shared" si="10"/>
        <v>3.8815437206153228E-2</v>
      </c>
      <c r="X26" s="30">
        <f t="shared" si="10"/>
        <v>6.0911574708689034E-2</v>
      </c>
      <c r="Y26" s="30">
        <f t="shared" si="10"/>
        <v>4.7074708901664812E-2</v>
      </c>
      <c r="Z26" s="30">
        <f t="shared" si="10"/>
        <v>5.411017731817571E-2</v>
      </c>
      <c r="AA26" s="30">
        <f t="shared" si="10"/>
        <v>5.5566020321586092E-2</v>
      </c>
      <c r="AB26" s="30">
        <f t="shared" si="10"/>
        <v>1.3758573650031348E-2</v>
      </c>
      <c r="AC26" s="30">
        <f t="shared" si="10"/>
        <v>0</v>
      </c>
      <c r="AD26" s="30">
        <f t="shared" si="10"/>
        <v>0</v>
      </c>
      <c r="AE26" s="30">
        <f t="shared" si="10"/>
        <v>0</v>
      </c>
    </row>
    <row r="27" spans="1:31" x14ac:dyDescent="0.2">
      <c r="A27" s="28" t="s">
        <v>13</v>
      </c>
      <c r="B27" s="30">
        <f>B9/40.3*1*(26-(27-26*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/(2-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)/(B4/60.08*2+B5/79.87*2+B6/101.96*3+B7/71.85*1+B8/70.94*1+B9/40.3*1+B10/56.08*1+B11/61.98*1+B12/94.2*1+B13/141.94*5+B14/152*3+B15/19/2+B16/35.5/2)/1*1</f>
        <v>2.5394659251628433E-3</v>
      </c>
      <c r="C27" s="30">
        <f>C9/40.3*1*(26-(27-26*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/(2-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)/(C4/60.08*2+C5/79.87*2+C6/101.96*3+C7/71.85*1+C8/70.94*1+C9/40.3*1+C10/56.08*1+C11/61.98*1+C12/94.2*1+C13/141.94*5+C14/152*3+C15/19/2+C16/35.5/2)/1*1</f>
        <v>1.2749789443146902E-2</v>
      </c>
      <c r="D27" s="30">
        <f>D9/40.3*1*(26-(27-26*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/(2-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)/(D4/60.08*2+D5/79.87*2+D6/101.96*3+D7/71.85*1+D8/70.94*1+D9/40.3*1+D10/56.08*1+D11/61.98*1+D12/94.2*1+D13/141.94*5+D14/152*3+D15/19/2+D16/35.5/2)/1*1</f>
        <v>3.3085579267734533E-2</v>
      </c>
      <c r="E27" s="30">
        <f>E9/40.3*1*(26-(27-26*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/(2-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)/(E4/60.08*2+E5/79.87*2+E6/101.96*3+E7/71.85*1+E8/70.94*1+E9/40.3*1+E10/56.08*1+E11/61.98*1+E12/94.2*1+E13/141.94*5+E14/152*3+E15/19/2+E16/35.5/2)/1*1</f>
        <v>0</v>
      </c>
      <c r="F27" s="30">
        <f t="shared" ref="F27:N27" si="11">F9/40.3*1*(26-(27-26*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/(2-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)/(F4/60.08*2+F5/79.87*2+F6/101.96*3+F7/71.85*1+F8/70.94*1+F9/40.3*1+F10/56.08*1+F11/61.98*1+F12/94.2*1+F13/141.94*5+F14/152*3+F15/19/2+F16/35.5/2)/1*1</f>
        <v>0.12435886572643713</v>
      </c>
      <c r="G27" s="30">
        <f t="shared" si="11"/>
        <v>9.3588039434283538E-2</v>
      </c>
      <c r="H27" s="30">
        <f t="shared" si="11"/>
        <v>0.23452389866290879</v>
      </c>
      <c r="I27" s="30">
        <f t="shared" si="11"/>
        <v>0.16729635413320193</v>
      </c>
      <c r="J27" s="30">
        <f t="shared" si="11"/>
        <v>2.5139820404690375E-3</v>
      </c>
      <c r="K27" s="30">
        <f t="shared" si="11"/>
        <v>1.2529671648694876E-2</v>
      </c>
      <c r="L27" s="30">
        <f t="shared" si="11"/>
        <v>0.11922206257887742</v>
      </c>
      <c r="M27" s="30">
        <f t="shared" si="11"/>
        <v>0.14065183892386407</v>
      </c>
      <c r="N27" s="30">
        <f t="shared" si="11"/>
        <v>0.13568465477467626</v>
      </c>
      <c r="O27" s="30">
        <f t="shared" ref="O27:AE27" si="12">O9/40.3*1*(26-(27-26*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/(2-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)/(O4/60.08*2+O5/79.87*2+O6/101.96*3+O7/71.85*1+O8/70.94*1+O9/40.3*1+O10/56.08*1+O11/61.98*1+O12/94.2*1+O13/141.94*5+O14/152*3+O15/19/2+O16/35.5/2)/1*1</f>
        <v>0.10975257159823332</v>
      </c>
      <c r="P27" s="30">
        <f t="shared" si="12"/>
        <v>3.4639316785132476E-2</v>
      </c>
      <c r="Q27" s="30">
        <f t="shared" si="12"/>
        <v>1.4555108812511272E-2</v>
      </c>
      <c r="R27" s="30">
        <f t="shared" si="12"/>
        <v>1.2998668441900889E-2</v>
      </c>
      <c r="S27" s="30">
        <f t="shared" si="12"/>
        <v>3.626478293210772E-2</v>
      </c>
      <c r="T27" s="30">
        <f t="shared" si="12"/>
        <v>2.5955516042498621E-2</v>
      </c>
      <c r="U27" s="30">
        <f t="shared" si="12"/>
        <v>2.8793735286220031E-2</v>
      </c>
      <c r="V27" s="30">
        <f t="shared" si="12"/>
        <v>3.4943139220771066E-2</v>
      </c>
      <c r="W27" s="30">
        <f t="shared" si="12"/>
        <v>3.354353747867711E-2</v>
      </c>
      <c r="X27" s="30">
        <f t="shared" si="12"/>
        <v>2.6151831446071538E-2</v>
      </c>
      <c r="Y27" s="30">
        <f t="shared" si="12"/>
        <v>5.8980994451176473E-2</v>
      </c>
      <c r="Z27" s="30">
        <f t="shared" si="12"/>
        <v>7.0225428832166772E-2</v>
      </c>
      <c r="AA27" s="30">
        <f t="shared" si="12"/>
        <v>5.3151565011083181E-2</v>
      </c>
      <c r="AB27" s="30">
        <f t="shared" si="12"/>
        <v>3.3007000710843136E-2</v>
      </c>
      <c r="AC27" s="30">
        <f t="shared" si="12"/>
        <v>0.23227043300910882</v>
      </c>
      <c r="AD27" s="30">
        <f t="shared" si="12"/>
        <v>0.27083202667429029</v>
      </c>
      <c r="AE27" s="30">
        <f t="shared" si="12"/>
        <v>0</v>
      </c>
    </row>
    <row r="28" spans="1:31" x14ac:dyDescent="0.2">
      <c r="A28" s="28" t="s">
        <v>15</v>
      </c>
      <c r="B28" s="30">
        <f>B10/56.08*1*(26-(27-26*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/(2-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)/(B4/60.08*2+B5/79.87*2+B6/101.96*3+B7/71.85*1+B8/70.94*1+B9/40.3*1+B10/56.08*1+B11/61.98*1+B12/94.2*1+B13/141.94*5+B14/152*3+B15/19/2+B16/35.5/2)/1*1</f>
        <v>9.7924215125406544</v>
      </c>
      <c r="C28" s="30">
        <f>C10/56.08*1*(26-(27-26*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/(2-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)/(C4/60.08*2+C5/79.87*2+C6/101.96*3+C7/71.85*1+C8/70.94*1+C9/40.3*1+C10/56.08*1+C11/61.98*1+C12/94.2*1+C13/141.94*5+C14/152*3+C15/19/2+C16/35.5/2)/1*1</f>
        <v>9.8475390486415808</v>
      </c>
      <c r="D28" s="30">
        <f>D10/56.08*1*(26-(27-26*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/(2-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)/(D4/60.08*2+D5/79.87*2+D6/101.96*3+D7/71.85*1+D8/70.94*1+D9/40.3*1+D10/56.08*1+D11/61.98*1+D12/94.2*1+D13/141.94*5+D14/152*3+D15/19/2+D16/35.5/2)/1*1</f>
        <v>9.8505114622263967</v>
      </c>
      <c r="E28" s="30">
        <f>E10/56.08*1*(26-(27-26*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/(2-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)/(E4/60.08*2+E5/79.87*2+E6/101.96*3+E7/71.85*1+E8/70.94*1+E9/40.3*1+E10/56.08*1+E11/61.98*1+E12/94.2*1+E13/141.94*5+E14/152*3+E15/19/2+E16/35.5/2)/1*1</f>
        <v>9.9710158018622934</v>
      </c>
      <c r="F28" s="30">
        <f t="shared" ref="F28:N28" si="13">F10/56.08*1*(26-(27-26*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/(2-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)/(F4/60.08*2+F5/79.87*2+F6/101.96*3+F7/71.85*1+F8/70.94*1+F9/40.3*1+F10/56.08*1+F11/61.98*1+F12/94.2*1+F13/141.94*5+F14/152*3+F15/19/2+F16/35.5/2)/1*1</f>
        <v>9.8029363308130755</v>
      </c>
      <c r="G28" s="30">
        <f t="shared" si="13"/>
        <v>9.8426972623697839</v>
      </c>
      <c r="H28" s="30">
        <f t="shared" si="13"/>
        <v>9.7300733528768397</v>
      </c>
      <c r="I28" s="30">
        <f t="shared" si="13"/>
        <v>9.8472649583108574</v>
      </c>
      <c r="J28" s="30">
        <f t="shared" si="13"/>
        <v>9.9199767828795302</v>
      </c>
      <c r="K28" s="30">
        <f t="shared" si="13"/>
        <v>9.8936235603729124</v>
      </c>
      <c r="L28" s="30">
        <f t="shared" si="13"/>
        <v>9.5537047447450139</v>
      </c>
      <c r="M28" s="30">
        <f t="shared" si="13"/>
        <v>9.7233860244360102</v>
      </c>
      <c r="N28" s="30">
        <f t="shared" si="13"/>
        <v>9.729893849143922</v>
      </c>
      <c r="O28" s="30">
        <f t="shared" ref="O28:AE28" si="14">O10/56.08*1*(26-(27-26*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/(2-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)/(O4/60.08*2+O5/79.87*2+O6/101.96*3+O7/71.85*1+O8/70.94*1+O9/40.3*1+O10/56.08*1+O11/61.98*1+O12/94.2*1+O13/141.94*5+O14/152*3+O15/19/2+O16/35.5/2)/1*1</f>
        <v>9.5807311605970789</v>
      </c>
      <c r="P28" s="30">
        <f t="shared" si="14"/>
        <v>9.7672794810269998</v>
      </c>
      <c r="Q28" s="30">
        <f t="shared" si="14"/>
        <v>9.7637849297131876</v>
      </c>
      <c r="R28" s="30">
        <f t="shared" si="14"/>
        <v>9.5477354014552631</v>
      </c>
      <c r="S28" s="30">
        <f t="shared" si="14"/>
        <v>9.8715554366452309</v>
      </c>
      <c r="T28" s="30">
        <f t="shared" si="14"/>
        <v>9.7997495882534338</v>
      </c>
      <c r="U28" s="30">
        <f t="shared" si="14"/>
        <v>9.4485581854009428</v>
      </c>
      <c r="V28" s="30">
        <f t="shared" si="14"/>
        <v>9.7800392962393765</v>
      </c>
      <c r="W28" s="30">
        <f t="shared" si="14"/>
        <v>9.7176673385602435</v>
      </c>
      <c r="X28" s="30">
        <f t="shared" si="14"/>
        <v>9.6765833428452943</v>
      </c>
      <c r="Y28" s="30">
        <f t="shared" si="14"/>
        <v>9.640034610977013</v>
      </c>
      <c r="Z28" s="30">
        <f t="shared" si="14"/>
        <v>9.6658426644156741</v>
      </c>
      <c r="AA28" s="30">
        <f t="shared" si="14"/>
        <v>9.7317167820992179</v>
      </c>
      <c r="AB28" s="30">
        <f t="shared" si="14"/>
        <v>9.755587697653894</v>
      </c>
      <c r="AC28" s="30">
        <f t="shared" si="14"/>
        <v>9.9851251498331735</v>
      </c>
      <c r="AD28" s="30">
        <f t="shared" si="14"/>
        <v>9.91286428397534</v>
      </c>
      <c r="AE28" s="30">
        <f t="shared" si="14"/>
        <v>9.7011947285807256</v>
      </c>
    </row>
    <row r="29" spans="1:31" x14ac:dyDescent="0.2">
      <c r="A29" s="28" t="s">
        <v>63</v>
      </c>
      <c r="B29" s="30">
        <f>B11/61.98*1*(26-(27-26*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/(2-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)/(B4/60.08*2+B5/79.87*2+B6/101.96*3+B7/71.85*1+B8/70.94*1+B9/40.3*1+B10/56.08*1+B11/61.98*1+B12/94.2*1+B13/141.94*5+B14/152*3+B15/19/2+B16/35.5/2)/1*2</f>
        <v>0.20474700098779866</v>
      </c>
      <c r="C29" s="30">
        <f>C11/61.98*1*(26-(27-26*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/(2-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)/(C4/60.08*2+C5/79.87*2+C6/101.96*3+C7/71.85*1+C8/70.94*1+C9/40.3*1+C10/56.08*1+C11/61.98*1+C12/94.2*1+C13/141.94*5+C14/152*3+C15/19/2+C16/35.5/2)/1*2</f>
        <v>0.19896089624736496</v>
      </c>
      <c r="D29" s="30">
        <f>D11/61.98*1*(26-(27-26*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/(2-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)/(D4/60.08*2+D5/79.87*2+D6/101.96*3+D7/71.85*1+D8/70.94*1+D9/40.3*1+D10/56.08*1+D11/61.98*1+D12/94.2*1+D13/141.94*5+D14/152*3+D15/19/2+D16/35.5/2)/1*2</f>
        <v>0.11914651972504593</v>
      </c>
      <c r="E29" s="30">
        <f>E11/61.98*1*(26-(27-26*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/(2-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)/(E4/60.08*2+E5/79.87*2+E6/101.96*3+E7/71.85*1+E8/70.94*1+E9/40.3*1+E10/56.08*1+E11/61.98*1+E12/94.2*1+E13/141.94*5+E14/152*3+E15/19/2+E16/35.5/2)/1*2</f>
        <v>3.6358455323431071E-2</v>
      </c>
      <c r="F29" s="30">
        <f t="shared" ref="F29:N29" si="15">F11/61.98*1*(26-(27-26*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/(2-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)/(F4/60.08*2+F5/79.87*2+F6/101.96*3+F7/71.85*1+F8/70.94*1+F9/40.3*1+F10/56.08*1+F11/61.98*1+F12/94.2*1+F13/141.94*5+F14/152*3+F15/19/2+F16/35.5/2)/1*2</f>
        <v>3.9604577819905694E-2</v>
      </c>
      <c r="G29" s="30">
        <f t="shared" si="15"/>
        <v>1.6446447368382244E-2</v>
      </c>
      <c r="H29" s="30">
        <f t="shared" si="15"/>
        <v>6.4889244410449663E-3</v>
      </c>
      <c r="I29" s="30">
        <f t="shared" si="15"/>
        <v>1.6481472692970452E-2</v>
      </c>
      <c r="J29" s="30">
        <f t="shared" si="15"/>
        <v>6.2115393623334701E-2</v>
      </c>
      <c r="K29" s="30">
        <f t="shared" si="15"/>
        <v>4.5622721808284278E-2</v>
      </c>
      <c r="L29" s="30">
        <f t="shared" si="15"/>
        <v>0</v>
      </c>
      <c r="M29" s="30">
        <f t="shared" si="15"/>
        <v>0</v>
      </c>
      <c r="N29" s="30">
        <f t="shared" si="15"/>
        <v>0</v>
      </c>
      <c r="O29" s="30">
        <f t="shared" ref="O29:AE29" si="16">O11/61.98*1*(26-(27-26*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/(2-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)/(O4/60.08*2+O5/79.87*2+O6/101.96*3+O7/71.85*1+O8/70.94*1+O9/40.3*1+O10/56.08*1+O11/61.98*1+O12/94.2*1+O13/141.94*5+O14/152*3+O15/19/2+O16/35.5/2)/1*2</f>
        <v>0</v>
      </c>
      <c r="P29" s="30">
        <f t="shared" si="16"/>
        <v>6.3544010040490102E-3</v>
      </c>
      <c r="Q29" s="30">
        <f t="shared" si="16"/>
        <v>1.5422608814279985E-2</v>
      </c>
      <c r="R29" s="30">
        <f t="shared" si="16"/>
        <v>5.2164207351356372E-2</v>
      </c>
      <c r="S29" s="30">
        <f t="shared" si="16"/>
        <v>6.6892809264207462E-3</v>
      </c>
      <c r="T29" s="30">
        <f t="shared" si="16"/>
        <v>5.5098705643710699E-3</v>
      </c>
      <c r="U29" s="30">
        <f t="shared" si="16"/>
        <v>4.4251922662591085E-2</v>
      </c>
      <c r="V29" s="30">
        <f t="shared" si="16"/>
        <v>4.6397386432946493E-3</v>
      </c>
      <c r="W29" s="30">
        <f t="shared" si="16"/>
        <v>2.6931022289865967E-2</v>
      </c>
      <c r="X29" s="30">
        <f t="shared" si="16"/>
        <v>4.0810021578961589E-2</v>
      </c>
      <c r="Y29" s="30">
        <f t="shared" si="16"/>
        <v>6.5359825664868558E-3</v>
      </c>
      <c r="Z29" s="30">
        <f t="shared" si="16"/>
        <v>5.9108424827224153E-3</v>
      </c>
      <c r="AA29" s="30">
        <f t="shared" si="16"/>
        <v>1.48716409154231E-2</v>
      </c>
      <c r="AB29" s="30">
        <f t="shared" si="16"/>
        <v>6.6426047966919616E-2</v>
      </c>
      <c r="AC29" s="30">
        <f t="shared" si="16"/>
        <v>3.6917099764417892E-2</v>
      </c>
      <c r="AD29" s="30">
        <f t="shared" si="16"/>
        <v>9.3918732279005254E-2</v>
      </c>
      <c r="AE29" s="30">
        <f t="shared" si="16"/>
        <v>0</v>
      </c>
    </row>
    <row r="30" spans="1:31" x14ac:dyDescent="0.2">
      <c r="A30" s="28" t="s">
        <v>64</v>
      </c>
      <c r="B30" s="30">
        <f>B12/94.2*1*(26-(27-26*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/(2-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)/(B4/60.08*2+B5/79.87*2+B6/101.96*3+B7/71.85*1+B8/70.94*1+B9/40.3*1+B10/56.08*1+B11/61.98*1+B12/94.2*1+B13/141.94*5+B14/152*3+B15/19/2+B16/35.5/2)/1*2</f>
        <v>0</v>
      </c>
      <c r="C30" s="30">
        <f>C12/94.2*1*(26-(27-26*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/(2-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)/(C4/60.08*2+C5/79.87*2+C6/101.96*3+C7/71.85*1+C8/70.94*1+C9/40.3*1+C10/56.08*1+C11/61.98*1+C12/94.2*1+C13/141.94*5+C14/152*3+C15/19/2+C16/35.5/2)/1*2</f>
        <v>0</v>
      </c>
      <c r="D30" s="30">
        <f>D12/94.2*1*(26-(27-26*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/(2-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)/(D4/60.08*2+D5/79.87*2+D6/101.96*3+D7/71.85*1+D8/70.94*1+D9/40.3*1+D10/56.08*1+D11/61.98*1+D12/94.2*1+D13/141.94*5+D14/152*3+D15/19/2+D16/35.5/2)/1*2</f>
        <v>0</v>
      </c>
      <c r="E30" s="30">
        <f>E12/94.2*1*(26-(27-26*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/(2-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)/(E4/60.08*2+E5/79.87*2+E6/101.96*3+E7/71.85*1+E8/70.94*1+E9/40.3*1+E10/56.08*1+E11/61.98*1+E12/94.2*1+E13/141.94*5+E14/152*3+E15/19/2+E16/35.5/2)/1*2</f>
        <v>0</v>
      </c>
      <c r="F30" s="30">
        <f t="shared" ref="F30:N30" si="17">F12/94.2*1*(26-(27-26*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/(2-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)/(F4/60.08*2+F5/79.87*2+F6/101.96*3+F7/71.85*1+F8/70.94*1+F9/40.3*1+F10/56.08*1+F11/61.98*1+F12/94.2*1+F13/141.94*5+F14/152*3+F15/19/2+F16/35.5/2)/1*2</f>
        <v>0</v>
      </c>
      <c r="G30" s="30">
        <f t="shared" si="17"/>
        <v>0</v>
      </c>
      <c r="H30" s="30">
        <f t="shared" si="17"/>
        <v>0</v>
      </c>
      <c r="I30" s="30">
        <f t="shared" si="17"/>
        <v>0</v>
      </c>
      <c r="J30" s="30">
        <f t="shared" si="17"/>
        <v>0</v>
      </c>
      <c r="K30" s="30">
        <f t="shared" si="17"/>
        <v>0</v>
      </c>
      <c r="L30" s="30">
        <f t="shared" si="17"/>
        <v>0</v>
      </c>
      <c r="M30" s="30">
        <f t="shared" si="17"/>
        <v>0</v>
      </c>
      <c r="N30" s="30">
        <f t="shared" si="17"/>
        <v>0</v>
      </c>
      <c r="O30" s="30">
        <f t="shared" ref="O30:AE30" si="18">O12/94.2*1*(26-(27-26*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/(2-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)/(O4/60.08*2+O5/79.87*2+O6/101.96*3+O7/71.85*1+O8/70.94*1+O9/40.3*1+O10/56.08*1+O11/61.98*1+O12/94.2*1+O13/141.94*5+O14/152*3+O15/19/2+O16/35.5/2)/1*2</f>
        <v>0</v>
      </c>
      <c r="P30" s="30">
        <f t="shared" si="18"/>
        <v>1.9201413857292894E-3</v>
      </c>
      <c r="Q30" s="30">
        <f t="shared" si="18"/>
        <v>0</v>
      </c>
      <c r="R30" s="30">
        <f t="shared" si="18"/>
        <v>0</v>
      </c>
      <c r="S30" s="30">
        <f t="shared" si="18"/>
        <v>0</v>
      </c>
      <c r="T30" s="30">
        <f t="shared" si="18"/>
        <v>9.39888512643718E-4</v>
      </c>
      <c r="U30" s="30">
        <f t="shared" si="18"/>
        <v>2.2396979965926796E-3</v>
      </c>
      <c r="V30" s="30">
        <f t="shared" si="18"/>
        <v>1.4477056986806432E-3</v>
      </c>
      <c r="W30" s="30">
        <f t="shared" si="18"/>
        <v>1.3414473390750388E-3</v>
      </c>
      <c r="X30" s="30">
        <f t="shared" si="18"/>
        <v>2.2376195483581381E-3</v>
      </c>
      <c r="Y30" s="30">
        <f t="shared" si="18"/>
        <v>8.4538303553356839E-4</v>
      </c>
      <c r="Z30" s="30">
        <f t="shared" si="18"/>
        <v>1.1019140641092182E-3</v>
      </c>
      <c r="AA30" s="30">
        <f t="shared" si="18"/>
        <v>1.1860571368949671E-3</v>
      </c>
      <c r="AB30" s="30">
        <f t="shared" si="18"/>
        <v>0</v>
      </c>
      <c r="AC30" s="30">
        <f t="shared" si="18"/>
        <v>0</v>
      </c>
      <c r="AD30" s="30">
        <f t="shared" si="18"/>
        <v>0</v>
      </c>
      <c r="AE30" s="30">
        <f t="shared" si="18"/>
        <v>0</v>
      </c>
    </row>
    <row r="31" spans="1:31" x14ac:dyDescent="0.2">
      <c r="A31" s="28" t="s">
        <v>65</v>
      </c>
      <c r="B31" s="30">
        <f>B13/141.94*5*(26-(27-26*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/(2-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)/(B4/60.08*2+B5/79.87*2+B6/101.96*3+B7/71.85*1+B8/70.94*1+B9/40.3*1+B10/56.08*1+B11/61.98*1+B12/94.2*1+B13/141.94*5+B14/152*3+B15/19/2+B16/35.5/2)/5*2</f>
        <v>5.998821803884745</v>
      </c>
      <c r="C31" s="30">
        <f>C13/141.94*5*(26-(27-26*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/(2-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)/(C4/60.08*2+C5/79.87*2+C6/101.96*3+C7/71.85*1+C8/70.94*1+C9/40.3*1+C10/56.08*1+C11/61.98*1+C12/94.2*1+C13/141.94*5+C14/152*3+C15/19/2+C16/35.5/2)/5*2</f>
        <v>5.9685829872099649</v>
      </c>
      <c r="D31" s="30">
        <f>D13/141.94*5*(26-(27-26*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/(2-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)/(D4/60.08*2+D5/79.87*2+D6/101.96*3+D7/71.85*1+D8/70.94*1+D9/40.3*1+D10/56.08*1+D11/61.98*1+D12/94.2*1+D13/141.94*5+D14/152*3+D15/19/2+D16/35.5/2)/5*2</f>
        <v>5.9830960169382132</v>
      </c>
      <c r="E31" s="30">
        <f>E13/141.94*5*(26-(27-26*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/(2-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)/(E4/60.08*2+E5/79.87*2+E6/101.96*3+E7/71.85*1+E8/70.94*1+E9/40.3*1+E10/56.08*1+E11/61.98*1+E12/94.2*1+E13/141.94*5+E14/152*3+E15/19/2+E16/35.5/2)/5*2</f>
        <v>5.9233427300417851</v>
      </c>
      <c r="F31" s="30">
        <f t="shared" ref="F31:N31" si="19">F13/141.94*5*(26-(27-26*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/(2-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)/(F4/60.08*2+F5/79.87*2+F6/101.96*3+F7/71.85*1+F8/70.94*1+F9/40.3*1+F10/56.08*1+F11/61.98*1+F12/94.2*1+F13/141.94*5+F14/152*3+F15/19/2+F16/35.5/2)/5*2</f>
        <v>5.8856800048766802</v>
      </c>
      <c r="G31" s="30">
        <f t="shared" si="19"/>
        <v>5.9434601142151156</v>
      </c>
      <c r="H31" s="30">
        <f t="shared" si="19"/>
        <v>5.9262143675796457</v>
      </c>
      <c r="I31" s="30">
        <f t="shared" si="19"/>
        <v>5.910057781960445</v>
      </c>
      <c r="J31" s="30">
        <f t="shared" si="19"/>
        <v>5.9971525101595082</v>
      </c>
      <c r="K31" s="30">
        <f t="shared" si="19"/>
        <v>5.9936073621738846</v>
      </c>
      <c r="L31" s="30">
        <f t="shared" si="19"/>
        <v>5.9410265315537618</v>
      </c>
      <c r="M31" s="30">
        <f t="shared" si="19"/>
        <v>5.9770698633553643</v>
      </c>
      <c r="N31" s="30">
        <f t="shared" si="19"/>
        <v>5.9489892054847386</v>
      </c>
      <c r="O31" s="30">
        <f t="shared" ref="O31:AE31" si="20">O13/141.94*5*(26-(27-26*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/(2-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)/(O4/60.08*2+O5/79.87*2+O6/101.96*3+O7/71.85*1+O8/70.94*1+O9/40.3*1+O10/56.08*1+O11/61.98*1+O12/94.2*1+O13/141.94*5+O14/152*3+O15/19/2+O16/35.5/2)/5*2</f>
        <v>5.7928774363991566</v>
      </c>
      <c r="P31" s="30">
        <f t="shared" si="20"/>
        <v>5.8800934232324442</v>
      </c>
      <c r="Q31" s="30">
        <f t="shared" si="20"/>
        <v>5.8341292560780191</v>
      </c>
      <c r="R31" s="30">
        <f t="shared" si="20"/>
        <v>5.8552449838717147</v>
      </c>
      <c r="S31" s="30">
        <f t="shared" si="20"/>
        <v>5.8024950092260923</v>
      </c>
      <c r="T31" s="30">
        <f t="shared" si="20"/>
        <v>5.8432182252140814</v>
      </c>
      <c r="U31" s="30">
        <f t="shared" si="20"/>
        <v>5.7939854226127974</v>
      </c>
      <c r="V31" s="30">
        <f t="shared" si="20"/>
        <v>5.9124643612016348</v>
      </c>
      <c r="W31" s="30">
        <f t="shared" si="20"/>
        <v>5.7148858489600851</v>
      </c>
      <c r="X31" s="30">
        <f t="shared" si="20"/>
        <v>5.7841535216889959</v>
      </c>
      <c r="Y31" s="30">
        <f t="shared" si="20"/>
        <v>5.9426638916100849</v>
      </c>
      <c r="Z31" s="30">
        <f t="shared" si="20"/>
        <v>5.9094108017707789</v>
      </c>
      <c r="AA31" s="30">
        <f t="shared" si="20"/>
        <v>5.8901649663045692</v>
      </c>
      <c r="AB31" s="30">
        <f t="shared" si="20"/>
        <v>5.9865665983065703</v>
      </c>
      <c r="AC31" s="30">
        <f t="shared" si="20"/>
        <v>5.8003934160219686</v>
      </c>
      <c r="AD31" s="30">
        <f t="shared" si="20"/>
        <v>5.7898561777507336</v>
      </c>
      <c r="AE31" s="30">
        <f t="shared" si="20"/>
        <v>5.6667566288916049</v>
      </c>
    </row>
    <row r="32" spans="1:31" x14ac:dyDescent="0.2">
      <c r="A32" s="28" t="s">
        <v>66</v>
      </c>
      <c r="B32" s="30">
        <f>B14/152*3*(26-(27-26*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/(2-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)/(B4/60.08*2+B5/79.87*2+B6/101.96*3+B7/71.85*1+B8/70.94*1+B9/40.3*1+B10/56.08*1+B11/61.98*1+B12/94.2*1+B13/141.94*5+B14/152*3+B15/19/2+B16/35.5/2)/3*2</f>
        <v>0</v>
      </c>
      <c r="C32" s="30">
        <f>C14/152*3*(26-(27-26*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/(2-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)/(C4/60.08*2+C5/79.87*2+C6/101.96*3+C7/71.85*1+C8/70.94*1+C9/40.3*1+C10/56.08*1+C11/61.98*1+C12/94.2*1+C13/141.94*5+C14/152*3+C15/19/2+C16/35.5/2)/3*2</f>
        <v>0</v>
      </c>
      <c r="D32" s="30">
        <f>D14/152*3*(26-(27-26*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/(2-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)/(D4/60.08*2+D5/79.87*2+D6/101.96*3+D7/71.85*1+D8/70.94*1+D9/40.3*1+D10/56.08*1+D11/61.98*1+D12/94.2*1+D13/141.94*5+D14/152*3+D15/19/2+D16/35.5/2)/3*2</f>
        <v>0</v>
      </c>
      <c r="E32" s="30">
        <f>E14/152*3*(26-(27-26*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/(2-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)/(E4/60.08*2+E5/79.87*2+E6/101.96*3+E7/71.85*1+E8/70.94*1+E9/40.3*1+E10/56.08*1+E11/61.98*1+E12/94.2*1+E13/141.94*5+E14/152*3+E15/19/2+E16/35.5/2)/3*2</f>
        <v>0</v>
      </c>
      <c r="F32" s="30">
        <f t="shared" ref="F32:N32" si="21">F14/152*3*(26-(27-26*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/(2-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)/(F4/60.08*2+F5/79.87*2+F6/101.96*3+F7/71.85*1+F8/70.94*1+F9/40.3*1+F10/56.08*1+F11/61.98*1+F12/94.2*1+F13/141.94*5+F14/152*3+F15/19/2+F16/35.5/2)/3*2</f>
        <v>0</v>
      </c>
      <c r="G32" s="30">
        <f t="shared" si="21"/>
        <v>0</v>
      </c>
      <c r="H32" s="30">
        <f t="shared" si="21"/>
        <v>0</v>
      </c>
      <c r="I32" s="30">
        <f t="shared" si="21"/>
        <v>0</v>
      </c>
      <c r="J32" s="30">
        <f t="shared" si="21"/>
        <v>0</v>
      </c>
      <c r="K32" s="30">
        <f t="shared" si="21"/>
        <v>0</v>
      </c>
      <c r="L32" s="30">
        <f t="shared" si="21"/>
        <v>0</v>
      </c>
      <c r="M32" s="30">
        <f t="shared" si="21"/>
        <v>0</v>
      </c>
      <c r="N32" s="30">
        <f t="shared" si="21"/>
        <v>0</v>
      </c>
      <c r="O32" s="30">
        <f t="shared" ref="O32:AE32" si="22">O14/152*3*(26-(27-26*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/(2-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)/(O4/60.08*2+O5/79.87*2+O6/101.96*3+O7/71.85*1+O8/70.94*1+O9/40.3*1+O10/56.08*1+O11/61.98*1+O12/94.2*1+O13/141.94*5+O14/152*3+O15/19/2+O16/35.5/2)/3*2</f>
        <v>0</v>
      </c>
      <c r="P32" s="30">
        <f t="shared" si="22"/>
        <v>0</v>
      </c>
      <c r="Q32" s="30">
        <f t="shared" si="22"/>
        <v>0</v>
      </c>
      <c r="R32" s="30">
        <f t="shared" si="22"/>
        <v>0</v>
      </c>
      <c r="S32" s="30">
        <f t="shared" si="22"/>
        <v>0</v>
      </c>
      <c r="T32" s="30">
        <f t="shared" si="22"/>
        <v>0</v>
      </c>
      <c r="U32" s="30">
        <f t="shared" si="22"/>
        <v>0</v>
      </c>
      <c r="V32" s="30">
        <f t="shared" si="22"/>
        <v>0</v>
      </c>
      <c r="W32" s="30">
        <f t="shared" si="22"/>
        <v>0</v>
      </c>
      <c r="X32" s="30">
        <f t="shared" si="22"/>
        <v>0</v>
      </c>
      <c r="Y32" s="30">
        <f t="shared" si="22"/>
        <v>0</v>
      </c>
      <c r="Z32" s="30">
        <f t="shared" si="22"/>
        <v>0</v>
      </c>
      <c r="AA32" s="30">
        <f t="shared" si="22"/>
        <v>0</v>
      </c>
      <c r="AB32" s="30">
        <f t="shared" si="22"/>
        <v>0</v>
      </c>
      <c r="AC32" s="30">
        <f t="shared" si="22"/>
        <v>0</v>
      </c>
      <c r="AD32" s="30">
        <f t="shared" si="22"/>
        <v>0</v>
      </c>
      <c r="AE32" s="30">
        <f t="shared" si="22"/>
        <v>0</v>
      </c>
    </row>
    <row r="33" spans="1:31" x14ac:dyDescent="0.2">
      <c r="A33" s="28" t="s">
        <v>4</v>
      </c>
      <c r="B33" s="30">
        <f>B15/19*(26-(27-26*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/(2-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)/(B4/60.08*2+B5/79.87*2+B6/101.96*3+B7/71.85*1+B8/70.94*1+B9/40.3*1+B10/56.08*1+B11/61.98*1+B12/94.2*1+B13/141.94*5+B14/152*3+B15/19/2+B16/35.5/2)</f>
        <v>0</v>
      </c>
      <c r="C33" s="30">
        <f>C15/19*(26-(27-26*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/(2-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)/(C4/60.08*2+C5/79.87*2+C6/101.96*3+C7/71.85*1+C8/70.94*1+C9/40.3*1+C10/56.08*1+C11/61.98*1+C12/94.2*1+C13/141.94*5+C14/152*3+C15/19/2+C16/35.5/2)</f>
        <v>0</v>
      </c>
      <c r="D33" s="30">
        <f>D15/19*(26-(27-26*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/(2-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)/(D4/60.08*2+D5/79.87*2+D6/101.96*3+D7/71.85*1+D8/70.94*1+D9/40.3*1+D10/56.08*1+D11/61.98*1+D12/94.2*1+D13/141.94*5+D14/152*3+D15/19/2+D16/35.5/2)</f>
        <v>0</v>
      </c>
      <c r="E33" s="30">
        <f>E15/19*(26-(27-26*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/(2-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)/(E4/60.08*2+E5/79.87*2+E6/101.96*3+E7/71.85*1+E8/70.94*1+E9/40.3*1+E10/56.08*1+E11/61.98*1+E12/94.2*1+E13/141.94*5+E14/152*3+E15/19/2+E16/35.5/2)</f>
        <v>0</v>
      </c>
      <c r="F33" s="30">
        <f t="shared" ref="F33:N33" si="23">F15/19*(26-(27-26*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/(2-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)/(F4/60.08*2+F5/79.87*2+F6/101.96*3+F7/71.85*1+F8/70.94*1+F9/40.3*1+F10/56.08*1+F11/61.98*1+F12/94.2*1+F13/141.94*5+F14/152*3+F15/19/2+F16/35.5/2)</f>
        <v>0</v>
      </c>
      <c r="G33" s="30">
        <f t="shared" si="23"/>
        <v>0</v>
      </c>
      <c r="H33" s="30">
        <f t="shared" si="23"/>
        <v>2.18555000949361</v>
      </c>
      <c r="I33" s="30">
        <f t="shared" si="23"/>
        <v>0</v>
      </c>
      <c r="J33" s="30">
        <f t="shared" si="23"/>
        <v>2.2875516475293187</v>
      </c>
      <c r="K33" s="30">
        <f t="shared" si="23"/>
        <v>2.3759027162816246</v>
      </c>
      <c r="L33" s="30">
        <f t="shared" si="23"/>
        <v>0</v>
      </c>
      <c r="M33" s="30">
        <f t="shared" si="23"/>
        <v>0</v>
      </c>
      <c r="N33" s="30">
        <f t="shared" si="23"/>
        <v>0</v>
      </c>
      <c r="O33" s="30">
        <f t="shared" ref="O33:AE33" si="24">O15/19*(26-(27-26*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/(2-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)/(O4/60.08*2+O5/79.87*2+O6/101.96*3+O7/71.85*1+O8/70.94*1+O9/40.3*1+O10/56.08*1+O11/61.98*1+O12/94.2*1+O13/141.94*5+O14/152*3+O15/19/2+O16/35.5/2)</f>
        <v>0</v>
      </c>
      <c r="P33" s="30">
        <f t="shared" si="24"/>
        <v>1.4511182294442537</v>
      </c>
      <c r="Q33" s="30">
        <f t="shared" si="24"/>
        <v>0</v>
      </c>
      <c r="R33" s="30">
        <f t="shared" si="24"/>
        <v>0</v>
      </c>
      <c r="S33" s="30">
        <f t="shared" si="24"/>
        <v>2.1166504361314269</v>
      </c>
      <c r="T33" s="30">
        <f t="shared" si="24"/>
        <v>0</v>
      </c>
      <c r="U33" s="30">
        <f t="shared" si="24"/>
        <v>0</v>
      </c>
      <c r="V33" s="30">
        <f t="shared" si="24"/>
        <v>1.8153016966522277</v>
      </c>
      <c r="W33" s="30">
        <f t="shared" si="24"/>
        <v>0</v>
      </c>
      <c r="X33" s="30">
        <f t="shared" si="24"/>
        <v>0</v>
      </c>
      <c r="Y33" s="30">
        <f t="shared" si="24"/>
        <v>1.6149338586193072</v>
      </c>
      <c r="Z33" s="30">
        <f t="shared" si="24"/>
        <v>1.6320964339817854</v>
      </c>
      <c r="AA33" s="30">
        <f t="shared" si="24"/>
        <v>0</v>
      </c>
      <c r="AB33" s="30">
        <f t="shared" si="24"/>
        <v>1.9843691667556749</v>
      </c>
      <c r="AC33" s="30">
        <f t="shared" si="24"/>
        <v>2.0855847424279292</v>
      </c>
      <c r="AD33" s="30">
        <f t="shared" si="24"/>
        <v>2.3853310146810118</v>
      </c>
      <c r="AE33" s="30">
        <f t="shared" si="24"/>
        <v>0</v>
      </c>
    </row>
    <row r="34" spans="1:31" x14ac:dyDescent="0.2">
      <c r="A34" s="28" t="s">
        <v>5</v>
      </c>
      <c r="B34" s="30">
        <f>B16/35.5*(26-(27-26*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/(2-((B4/60.08*2+B5/79.87*2+B6/101.96*3+B7/71.85*1+B8/70.94*1+B9/40.3*1+B10/56.08*1+B11/61.98*1+B12/94.2*1+B13/141.94*5+B14/152*3+B15/19+B16/35.5)/(B4/60.08*2+B5/79.87*2+B6/101.96*3+B7/71.85*1+B8/70.94*1+B9/40.3*1+B10/56.08*1+B11/61.98*1+B12/94.2*1+B13/141.94*5+B14/152*3+B15/19/2+B16/35.5/2))))/(B4/60.08*2+B5/79.87*2+B6/101.96*3+B7/71.85*1+B8/70.94*1+B9/40.3*1+B10/56.08*1+B11/61.98*1+B12/94.2*1+B13/141.94*5+B14/152*3+B15/19/2+B16/35.5/2)</f>
        <v>8.9367740290308167E-2</v>
      </c>
      <c r="C34" s="30">
        <f>C16/35.5*(26-(27-26*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/(2-((C4/60.08*2+C5/79.87*2+C6/101.96*3+C7/71.85*1+C8/70.94*1+C9/40.3*1+C10/56.08*1+C11/61.98*1+C12/94.2*1+C13/141.94*5+C14/152*3+C15/19+C16/35.5)/(C4/60.08*2+C5/79.87*2+C6/101.96*3+C7/71.85*1+C8/70.94*1+C9/40.3*1+C10/56.08*1+C11/61.98*1+C12/94.2*1+C13/141.94*5+C14/152*3+C15/19/2+C16/35.5/2))))/(C4/60.08*2+C5/79.87*2+C6/101.96*3+C7/71.85*1+C8/70.94*1+C9/40.3*1+C10/56.08*1+C11/61.98*1+C12/94.2*1+C13/141.94*5+C14/152*3+C15/19/2+C16/35.5/2)</f>
        <v>0.15631601006296497</v>
      </c>
      <c r="D34" s="30">
        <f>D16/35.5*(26-(27-26*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/(2-((D4/60.08*2+D5/79.87*2+D6/101.96*3+D7/71.85*1+D8/70.94*1+D9/40.3*1+D10/56.08*1+D11/61.98*1+D12/94.2*1+D13/141.94*5+D14/152*3+D15/19+D16/35.5)/(D4/60.08*2+D5/79.87*2+D6/101.96*3+D7/71.85*1+D8/70.94*1+D9/40.3*1+D10/56.08*1+D11/61.98*1+D12/94.2*1+D13/141.94*5+D14/152*3+D15/19/2+D16/35.5/2))))/(D4/60.08*2+D5/79.87*2+D6/101.96*3+D7/71.85*1+D8/70.94*1+D9/40.3*1+D10/56.08*1+D11/61.98*1+D12/94.2*1+D13/141.94*5+D14/152*3+D15/19/2+D16/35.5/2)</f>
        <v>0.1357906732199696</v>
      </c>
      <c r="E34" s="30">
        <f>E16/35.5*(26-(27-26*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/(2-((E4/60.08*2+E5/79.87*2+E6/101.96*3+E7/71.85*1+E8/70.94*1+E9/40.3*1+E10/56.08*1+E11/61.98*1+E12/94.2*1+E13/141.94*5+E14/152*3+E15/19+E16/35.5)/(E4/60.08*2+E5/79.87*2+E6/101.96*3+E7/71.85*1+E8/70.94*1+E9/40.3*1+E10/56.08*1+E11/61.98*1+E12/94.2*1+E13/141.94*5+E14/152*3+E15/19/2+E16/35.5/2))))/(E4/60.08*2+E5/79.87*2+E6/101.96*3+E7/71.85*1+E8/70.94*1+E9/40.3*1+E10/56.08*1+E11/61.98*1+E12/94.2*1+E13/141.94*5+E14/152*3+E15/19/2+E16/35.5/2)</f>
        <v>1.7312397395233731E-2</v>
      </c>
      <c r="F34" s="30">
        <f t="shared" ref="F34:N34" si="25">F16/35.5*(26-(27-26*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/(2-((F4/60.08*2+F5/79.87*2+F6/101.96*3+F7/71.85*1+F8/70.94*1+F9/40.3*1+F10/56.08*1+F11/61.98*1+F12/94.2*1+F13/141.94*5+F14/152*3+F15/19+F16/35.5)/(F4/60.08*2+F5/79.87*2+F6/101.96*3+F7/71.85*1+F8/70.94*1+F9/40.3*1+F10/56.08*1+F11/61.98*1+F12/94.2*1+F13/141.94*5+F14/152*3+F15/19/2+F16/35.5/2))))/(F4/60.08*2+F5/79.87*2+F6/101.96*3+F7/71.85*1+F8/70.94*1+F9/40.3*1+F10/56.08*1+F11/61.98*1+F12/94.2*1+F13/141.94*5+F14/152*3+F15/19/2+F16/35.5/2)</f>
        <v>2.881093583659337E-2</v>
      </c>
      <c r="G34" s="30">
        <f t="shared" si="25"/>
        <v>2.0099875085200905E-2</v>
      </c>
      <c r="H34" s="30">
        <f t="shared" si="25"/>
        <v>5.6645568571262956E-3</v>
      </c>
      <c r="I34" s="30">
        <f t="shared" si="25"/>
        <v>5.7550517042834299E-3</v>
      </c>
      <c r="J34" s="30">
        <f t="shared" si="25"/>
        <v>1.9977305172290582E-2</v>
      </c>
      <c r="K34" s="30">
        <f t="shared" si="25"/>
        <v>1.4223824434997281E-2</v>
      </c>
      <c r="L34" s="30">
        <f t="shared" si="25"/>
        <v>0</v>
      </c>
      <c r="M34" s="30">
        <f t="shared" si="25"/>
        <v>0</v>
      </c>
      <c r="N34" s="30">
        <f t="shared" si="25"/>
        <v>0</v>
      </c>
      <c r="O34" s="30">
        <f t="shared" ref="O34:AE34" si="26">O16/35.5*(26-(27-26*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/(2-((O4/60.08*2+O5/79.87*2+O6/101.96*3+O7/71.85*1+O8/70.94*1+O9/40.3*1+O10/56.08*1+O11/61.98*1+O12/94.2*1+O13/141.94*5+O14/152*3+O15/19+O16/35.5)/(O4/60.08*2+O5/79.87*2+O6/101.96*3+O7/71.85*1+O8/70.94*1+O9/40.3*1+O10/56.08*1+O11/61.98*1+O12/94.2*1+O13/141.94*5+O14/152*3+O15/19/2+O16/35.5/2))))/(O4/60.08*2+O5/79.87*2+O6/101.96*3+O7/71.85*1+O8/70.94*1+O9/40.3*1+O10/56.08*1+O11/61.98*1+O12/94.2*1+O13/141.94*5+O14/152*3+O15/19/2+O16/35.5/2)</f>
        <v>0</v>
      </c>
      <c r="P34" s="30">
        <f t="shared" si="26"/>
        <v>1.1505145204451554E-2</v>
      </c>
      <c r="Q34" s="30">
        <f t="shared" si="26"/>
        <v>1.2078306670459686E-2</v>
      </c>
      <c r="R34" s="30">
        <f t="shared" si="26"/>
        <v>1.3751204211274455</v>
      </c>
      <c r="S34" s="30">
        <f t="shared" si="26"/>
        <v>2.9197298015461821E-3</v>
      </c>
      <c r="T34" s="30">
        <f t="shared" si="26"/>
        <v>7.1863232694657594E-2</v>
      </c>
      <c r="U34" s="30">
        <f t="shared" si="26"/>
        <v>1.7621249846262681</v>
      </c>
      <c r="V34" s="30">
        <f t="shared" si="26"/>
        <v>5.762276485171124E-3</v>
      </c>
      <c r="W34" s="30">
        <f t="shared" si="26"/>
        <v>8.3261599779421824E-2</v>
      </c>
      <c r="X34" s="30">
        <f t="shared" si="26"/>
        <v>1.7486145844675103</v>
      </c>
      <c r="Y34" s="30">
        <f t="shared" si="26"/>
        <v>7.7538138576942308E-3</v>
      </c>
      <c r="Z34" s="30">
        <f t="shared" si="26"/>
        <v>7.3098806224710109E-3</v>
      </c>
      <c r="AA34" s="30">
        <f t="shared" si="26"/>
        <v>1.1949630060654899</v>
      </c>
      <c r="AB34" s="30">
        <f t="shared" si="26"/>
        <v>4.1027689967226895E-2</v>
      </c>
      <c r="AC34" s="30">
        <f t="shared" si="26"/>
        <v>5.8594669485239979E-3</v>
      </c>
      <c r="AD34" s="30">
        <f t="shared" si="26"/>
        <v>1.1712440697490433E-2</v>
      </c>
      <c r="AE34" s="30">
        <f t="shared" si="26"/>
        <v>0.36331186280760558</v>
      </c>
    </row>
    <row r="35" spans="1:31" s="51" customFormat="1" x14ac:dyDescent="0.2">
      <c r="A35" s="32" t="s">
        <v>6</v>
      </c>
      <c r="B35" s="32">
        <f>2-B33-B34</f>
        <v>1.9106322597096919</v>
      </c>
      <c r="C35" s="32">
        <f>2-C33-C34</f>
        <v>1.843683989937035</v>
      </c>
      <c r="D35" s="32">
        <f>2-D33-D34</f>
        <v>1.8642093267800304</v>
      </c>
      <c r="E35" s="32">
        <f>2-E33-E34</f>
        <v>1.9826876026047662</v>
      </c>
      <c r="F35" s="32">
        <f t="shared" ref="F35:N35" si="27">2-F33-F34</f>
        <v>1.9711890641634067</v>
      </c>
      <c r="G35" s="32">
        <f t="shared" si="27"/>
        <v>1.9799001249147992</v>
      </c>
      <c r="H35" s="32">
        <f t="shared" si="27"/>
        <v>-0.1912145663507363</v>
      </c>
      <c r="I35" s="32">
        <f t="shared" si="27"/>
        <v>1.9942449482957165</v>
      </c>
      <c r="J35" s="32">
        <f t="shared" si="27"/>
        <v>-0.30752895270160929</v>
      </c>
      <c r="K35" s="32">
        <f t="shared" si="27"/>
        <v>-0.39012654071662189</v>
      </c>
      <c r="L35" s="32">
        <f t="shared" si="27"/>
        <v>2</v>
      </c>
      <c r="M35" s="32">
        <f t="shared" si="27"/>
        <v>2</v>
      </c>
      <c r="N35" s="32">
        <f t="shared" si="27"/>
        <v>2</v>
      </c>
      <c r="O35" s="32">
        <f t="shared" ref="O35" si="28">2-O33-O34</f>
        <v>2</v>
      </c>
      <c r="P35" s="32">
        <f t="shared" ref="P35" si="29">2-P33-P34</f>
        <v>0.53737662535129471</v>
      </c>
      <c r="Q35" s="32">
        <f t="shared" ref="Q35" si="30">2-Q33-Q34</f>
        <v>1.9879216933295403</v>
      </c>
      <c r="R35" s="32">
        <f t="shared" ref="R35" si="31">2-R33-R34</f>
        <v>0.62487957887255452</v>
      </c>
      <c r="S35" s="32">
        <f t="shared" ref="S35:W35" si="32">2-S33-S34</f>
        <v>-0.11957016593297308</v>
      </c>
      <c r="T35" s="32">
        <f t="shared" si="32"/>
        <v>1.9281367673053424</v>
      </c>
      <c r="U35" s="32">
        <f t="shared" si="32"/>
        <v>0.2378750153737319</v>
      </c>
      <c r="V35" s="32">
        <f t="shared" si="32"/>
        <v>0.17893602686260113</v>
      </c>
      <c r="W35" s="32">
        <f t="shared" si="32"/>
        <v>1.9167384002205781</v>
      </c>
      <c r="X35" s="32">
        <f t="shared" ref="X35" si="33">2-X33-X34</f>
        <v>0.25138541553248972</v>
      </c>
      <c r="Y35" s="32">
        <f t="shared" ref="Y35" si="34">2-Y33-Y34</f>
        <v>0.37731232752299859</v>
      </c>
      <c r="Z35" s="32">
        <f t="shared" ref="Z35" si="35">2-Z33-Z34</f>
        <v>0.3605936853957436</v>
      </c>
      <c r="AA35" s="32">
        <f t="shared" ref="AA35" si="36">2-AA33-AA34</f>
        <v>0.80503699393451011</v>
      </c>
      <c r="AB35" s="32">
        <f t="shared" ref="AB35:AE35" si="37">2-AB33-AB34</f>
        <v>-2.5396856722901769E-2</v>
      </c>
      <c r="AC35" s="32">
        <f t="shared" si="37"/>
        <v>-9.1444209376453242E-2</v>
      </c>
      <c r="AD35" s="32">
        <f t="shared" si="37"/>
        <v>-0.39704345537850227</v>
      </c>
      <c r="AE35" s="32">
        <f t="shared" si="37"/>
        <v>1.6366881371923945</v>
      </c>
    </row>
    <row r="37" spans="1:31" x14ac:dyDescent="0.2">
      <c r="A37" s="46" t="s">
        <v>75</v>
      </c>
    </row>
    <row r="38" spans="1:31" x14ac:dyDescent="0.2">
      <c r="A38" s="40" t="s">
        <v>13</v>
      </c>
      <c r="B38" s="42">
        <f>EXP(-61.9260681512942+65783.1796876913/(B$19+273.15)/8.31+2.53599567918181*B28+3.22062336896664*B22+5.56939536365427*B31)*EXP(((-4*PI()*(-2474.08365451656+448.613976729953*B31+207.58312042747*B22)*1000000000*6.02E+23)/(8.31*(B19+273.15)))*((((0.817581105867826+0.0645260838443783*B31)*0.0000000001/2*((0.817581105867826+0.0645260838443783*B31)*0.0000000001-0.9556*0.0000000001)^2)-(1/3*((0.817581105867826+0.0645260838443783*B31)*0.0000000001-0.9556*0.0000000001)^3))))</f>
        <v>6.6816742004305943E-2</v>
      </c>
      <c r="C38" s="42">
        <f t="shared" ref="C38:AE38" si="38">EXP(-61.9260681512942+65783.1796876913/(C$19+273.15)/8.31+2.53599567918181*C28+3.22062336896664*C22+5.56939536365427*C31)*EXP(((-4*PI()*(-2474.08365451656+448.613976729953*C31+207.58312042747*C22)*1000000000*6.02E+23)/(8.31*(C19+273.15)))*((((0.817581105867826+0.0645260838443783*C31)*0.0000000001/2*((0.817581105867826+0.0645260838443783*C31)*0.0000000001-0.9556*0.0000000001)^2)-(1/3*((0.817581105867826+0.0645260838443783*C31)*0.0000000001-0.9556*0.0000000001)^3))))</f>
        <v>8.9918308847442951E-2</v>
      </c>
      <c r="D38" s="42">
        <f t="shared" si="38"/>
        <v>8.4752452799267838E-2</v>
      </c>
      <c r="E38" s="42">
        <f t="shared" si="38"/>
        <v>0.15014797789825995</v>
      </c>
      <c r="F38" s="42">
        <f t="shared" si="38"/>
        <v>0.11311376689575928</v>
      </c>
      <c r="G38" s="42">
        <f t="shared" si="38"/>
        <v>9.9443173471432902E-2</v>
      </c>
      <c r="H38" s="42">
        <f t="shared" si="38"/>
        <v>7.980515287408145E-2</v>
      </c>
      <c r="I38" s="42">
        <f t="shared" si="38"/>
        <v>0.11634468140682183</v>
      </c>
      <c r="J38" s="42">
        <f t="shared" si="38"/>
        <v>9.5177139799503416E-2</v>
      </c>
      <c r="K38" s="42">
        <f t="shared" si="38"/>
        <v>8.9572289867521943E-2</v>
      </c>
      <c r="L38" s="42">
        <f t="shared" si="38"/>
        <v>5.013616594933077E-2</v>
      </c>
      <c r="M38" s="42">
        <f t="shared" si="38"/>
        <v>7.191630817141563E-2</v>
      </c>
      <c r="N38" s="42">
        <f t="shared" si="38"/>
        <v>8.3790058226695108E-2</v>
      </c>
      <c r="O38" s="42">
        <f t="shared" si="38"/>
        <v>0.10896258986475291</v>
      </c>
      <c r="P38" s="42">
        <f t="shared" si="38"/>
        <v>0.14262766903150176</v>
      </c>
      <c r="Q38" s="42">
        <f t="shared" si="38"/>
        <v>0.17887024884101257</v>
      </c>
      <c r="R38" s="42">
        <f t="shared" si="38"/>
        <v>8.942005777658929E-2</v>
      </c>
      <c r="S38" s="42">
        <f t="shared" si="38"/>
        <v>0.24958433873826147</v>
      </c>
      <c r="T38" s="42">
        <f t="shared" si="38"/>
        <v>0.17474945971720926</v>
      </c>
      <c r="U38" s="42">
        <f t="shared" si="38"/>
        <v>7.7619529333475157E-2</v>
      </c>
      <c r="V38" s="42">
        <f t="shared" si="38"/>
        <v>0.11584535148967079</v>
      </c>
      <c r="W38" s="42">
        <f t="shared" si="38"/>
        <v>0.22237953719723524</v>
      </c>
      <c r="X38" s="42">
        <f t="shared" si="38"/>
        <v>0.15445170266463401</v>
      </c>
      <c r="Y38" s="42">
        <f t="shared" si="38"/>
        <v>6.9158696362235886E-2</v>
      </c>
      <c r="Z38" s="42">
        <f t="shared" si="38"/>
        <v>8.8241512434345304E-2</v>
      </c>
      <c r="AA38" s="42">
        <f t="shared" si="38"/>
        <v>0.11478736441186038</v>
      </c>
      <c r="AB38" s="42">
        <f t="shared" si="38"/>
        <v>7.7797889609331941E-2</v>
      </c>
      <c r="AC38" s="42">
        <f t="shared" si="38"/>
        <v>0.30995559293517333</v>
      </c>
      <c r="AD38" s="42">
        <f t="shared" si="38"/>
        <v>0.29283734435917452</v>
      </c>
      <c r="AE38" s="42">
        <f t="shared" si="38"/>
        <v>0.46235712856531419</v>
      </c>
    </row>
    <row r="39" spans="1:31" x14ac:dyDescent="0.2">
      <c r="A39" s="40" t="s">
        <v>14</v>
      </c>
      <c r="B39" s="42">
        <f>EXP(-61.9260681512942+65783.1796876913/(B$19+273.15)/8.31+2.53599567918181*B28+3.22062336896664*B22+5.56939536365427*B31)*EXP(((-4*PI()*(-2474.08365451656+448.613976729953*B31+207.58312042747*B22)*1000000000*6.02E+23)/(8.31*(B19+273.15)))*((((0.817581105867826+0.0645260838443783*B31)*0.0000000001/2*((0.817581105867826+0.0645260838443783*B31)*0.0000000001-0.9584*0.0000000001)^2)-(1/3*((0.817581105867826+0.0645260838443783*B31)*0.0000000001-0.9584*0.0000000001)^3))))</f>
        <v>7.314175587735422E-2</v>
      </c>
      <c r="C39" s="42">
        <f t="shared" ref="C39:AE39" si="39">EXP(-61.9260681512942+65783.1796876913/(C$19+273.15)/8.31+2.53599567918181*C28+3.22062336896664*C22+5.56939536365427*C31)*EXP(((-4*PI()*(-2474.08365451656+448.613976729953*C31+207.58312042747*C22)*1000000000*6.02E+23)/(8.31*(C19+273.15)))*((((0.817581105867826+0.0645260838443783*C31)*0.0000000001/2*((0.817581105867826+0.0645260838443783*C31)*0.0000000001-0.9584*0.0000000001)^2)-(1/3*((0.817581105867826+0.0645260838443783*C31)*0.0000000001-0.9584*0.0000000001)^3))))</f>
        <v>9.7865475077223055E-2</v>
      </c>
      <c r="D39" s="42">
        <f t="shared" si="39"/>
        <v>9.2419014801880001E-2</v>
      </c>
      <c r="E39" s="42">
        <f t="shared" si="39"/>
        <v>0.1624594823586448</v>
      </c>
      <c r="F39" s="42">
        <f t="shared" si="39"/>
        <v>0.12204459140717848</v>
      </c>
      <c r="G39" s="42">
        <f t="shared" si="39"/>
        <v>0.10787027035330803</v>
      </c>
      <c r="H39" s="42">
        <f t="shared" si="39"/>
        <v>8.6478760397566884E-2</v>
      </c>
      <c r="I39" s="42">
        <f t="shared" si="39"/>
        <v>0.12562527528691841</v>
      </c>
      <c r="J39" s="42">
        <f t="shared" si="39"/>
        <v>0.10391623923052462</v>
      </c>
      <c r="K39" s="42">
        <f t="shared" si="39"/>
        <v>9.7861744497938066E-2</v>
      </c>
      <c r="L39" s="42">
        <f t="shared" si="39"/>
        <v>5.5496305355875332E-2</v>
      </c>
      <c r="M39" s="42">
        <f t="shared" si="39"/>
        <v>7.9223967136413664E-2</v>
      </c>
      <c r="N39" s="42">
        <f t="shared" si="39"/>
        <v>9.2045664833456331E-2</v>
      </c>
      <c r="O39" s="42">
        <f t="shared" si="39"/>
        <v>0.11858677846487115</v>
      </c>
      <c r="P39" s="42">
        <f t="shared" si="39"/>
        <v>0.15491084714116005</v>
      </c>
      <c r="Q39" s="42">
        <f t="shared" si="39"/>
        <v>0.19277064031407154</v>
      </c>
      <c r="R39" s="42">
        <f t="shared" si="39"/>
        <v>9.7050254924926929E-2</v>
      </c>
      <c r="S39" s="42">
        <f t="shared" si="39"/>
        <v>0.26660204062002224</v>
      </c>
      <c r="T39" s="42">
        <f t="shared" si="39"/>
        <v>0.18771832017127421</v>
      </c>
      <c r="U39" s="42">
        <f t="shared" si="39"/>
        <v>8.4089764178107373E-2</v>
      </c>
      <c r="V39" s="42">
        <f t="shared" si="39"/>
        <v>0.12610077931886118</v>
      </c>
      <c r="W39" s="42">
        <f t="shared" si="39"/>
        <v>0.23699869432473439</v>
      </c>
      <c r="X39" s="42">
        <f t="shared" si="39"/>
        <v>0.16577191276774544</v>
      </c>
      <c r="Y39" s="42">
        <f t="shared" si="39"/>
        <v>7.5657635885197305E-2</v>
      </c>
      <c r="Z39" s="42">
        <f t="shared" si="39"/>
        <v>9.5991726939734234E-2</v>
      </c>
      <c r="AA39" s="42">
        <f t="shared" si="39"/>
        <v>0.12450272809541697</v>
      </c>
      <c r="AB39" s="42">
        <f t="shared" si="39"/>
        <v>8.7069326691256194E-2</v>
      </c>
      <c r="AC39" s="42">
        <f t="shared" si="39"/>
        <v>0.32948329962325978</v>
      </c>
      <c r="AD39" s="42">
        <f t="shared" si="39"/>
        <v>0.31121669006149072</v>
      </c>
      <c r="AE39" s="42">
        <f t="shared" si="39"/>
        <v>0.50865739605653582</v>
      </c>
    </row>
    <row r="40" spans="1:31" x14ac:dyDescent="0.2">
      <c r="A40" s="40" t="s">
        <v>15</v>
      </c>
      <c r="B40" s="43">
        <f>EXP(-61.9260681512942+65783.1796876913/(B$19+273.15)/8.31+2.53599567918181*B28+3.22062336896664*B22+5.56939536365427*B31)*EXP(((-4*PI()*(-2474.08365451656+448.613976729953*B31+207.58312042747*B22)*1000000000*6.02E+23)/(8.31*(B19+273.15)))*((((0.817581105867826+0.0645260838443783*B31)*0.0000000001/2*((0.817581105867826+0.0645260838443783*B31)*0.0000000001-1.18*0.0000000001)^2)-(1/3*((0.817581105867826+0.0645260838443783*B31)*0.0000000001-1.18*0.0000000001)^3))))</f>
        <v>5.1311118172260546</v>
      </c>
      <c r="C40" s="43">
        <f t="shared" ref="C40:AE40" si="40">EXP(-61.9260681512942+65783.1796876913/(C$19+273.15)/8.31+2.53599567918181*C28+3.22062336896664*C22+5.56939536365427*C31)*EXP(((-4*PI()*(-2474.08365451656+448.613976729953*C31+207.58312042747*C22)*1000000000*6.02E+23)/(8.31*(C19+273.15)))*((((0.817581105867826+0.0645260838443783*C31)*0.0000000001/2*((0.817581105867826+0.0645260838443783*C31)*0.0000000001-1.18*0.0000000001)^2)-(1/3*((0.817581105867826+0.0645260838443783*C31)*0.0000000001-1.18*0.0000000001)^3))))</f>
        <v>5.0950025043640617</v>
      </c>
      <c r="D40" s="43">
        <f t="shared" si="40"/>
        <v>5.3316868535153583</v>
      </c>
      <c r="E40" s="43">
        <f t="shared" si="40"/>
        <v>6.1773716237410161</v>
      </c>
      <c r="F40" s="43">
        <f t="shared" si="40"/>
        <v>3.9449260595184734</v>
      </c>
      <c r="G40" s="43">
        <f t="shared" si="40"/>
        <v>4.6961050765061794</v>
      </c>
      <c r="H40" s="43">
        <f t="shared" si="40"/>
        <v>3.5337507414727405</v>
      </c>
      <c r="I40" s="43">
        <f t="shared" si="40"/>
        <v>4.2936126102529935</v>
      </c>
      <c r="J40" s="43">
        <f t="shared" si="40"/>
        <v>6.4412101127334118</v>
      </c>
      <c r="K40" s="43">
        <f t="shared" si="40"/>
        <v>6.2370215414995434</v>
      </c>
      <c r="L40" s="43">
        <f t="shared" si="40"/>
        <v>6.1588978945698019</v>
      </c>
      <c r="M40" s="43">
        <f t="shared" si="40"/>
        <v>7.3144142747626368</v>
      </c>
      <c r="N40" s="43">
        <f t="shared" si="40"/>
        <v>7.2402283320852696</v>
      </c>
      <c r="O40" s="43">
        <f t="shared" si="40"/>
        <v>5.1910394643019542</v>
      </c>
      <c r="P40" s="43">
        <f t="shared" si="40"/>
        <v>6.7421706853817378</v>
      </c>
      <c r="Q40" s="43">
        <f t="shared" si="40"/>
        <v>5.652099905243964</v>
      </c>
      <c r="R40" s="43">
        <f t="shared" si="40"/>
        <v>3.9906458067009085</v>
      </c>
      <c r="S40" s="43">
        <f t="shared" si="40"/>
        <v>5.1071027079735396</v>
      </c>
      <c r="T40" s="43">
        <f t="shared" si="40"/>
        <v>4.7891806803811754</v>
      </c>
      <c r="U40" s="43">
        <f t="shared" si="40"/>
        <v>3.0041500189234984</v>
      </c>
      <c r="V40" s="43">
        <f t="shared" si="40"/>
        <v>6.2650065974800855</v>
      </c>
      <c r="W40" s="43">
        <f t="shared" si="40"/>
        <v>3.8261349014029165</v>
      </c>
      <c r="X40" s="43">
        <f t="shared" si="40"/>
        <v>3.8706975763748295</v>
      </c>
      <c r="Y40" s="43">
        <f t="shared" si="40"/>
        <v>4.8755471932817374</v>
      </c>
      <c r="Z40" s="43">
        <f t="shared" si="40"/>
        <v>4.6170197234335069</v>
      </c>
      <c r="AA40" s="43">
        <f t="shared" si="40"/>
        <v>5.138933717307907</v>
      </c>
      <c r="AB40" s="43">
        <f t="shared" si="40"/>
        <v>17.037520913918712</v>
      </c>
      <c r="AC40" s="43">
        <f t="shared" si="40"/>
        <v>5.0690320642041948</v>
      </c>
      <c r="AD40" s="43">
        <f t="shared" si="40"/>
        <v>4.7036941109360653</v>
      </c>
      <c r="AE40" s="43">
        <f t="shared" si="40"/>
        <v>31.026477028025003</v>
      </c>
    </row>
    <row r="41" spans="1:31" ht="18" x14ac:dyDescent="0.2">
      <c r="A41" s="40" t="s">
        <v>78</v>
      </c>
      <c r="B41" s="43">
        <f>EXP(-61.9260681512942+65783.1796876913/(B$19+273.15)/8.31+2.53599567918181*B28+3.22062336896664*B22+5.56939536365427*B31)*EXP(((-4*PI()*(-2474.08365451656+448.613976729953*B31+207.58312042747*B22)*1000000000*6.02E+23)/(8.31*(B19+273.15)))*((((0.817581105867826+0.0645260838443783*B31)*0.0000000001/2*((0.817581105867826+0.0645260838443783*B31)*0.0000000001-1.3*0.0000000001)^2)-(1/3*((0.817581105867826+0.0645260838443783*B31)*0.0000000001-1.3*0.0000000001)^3))))</f>
        <v>2.4572450096681679</v>
      </c>
      <c r="C41" s="43">
        <f t="shared" ref="C41:AE41" si="41">EXP(-61.9260681512942+65783.1796876913/(C$19+273.15)/8.31+2.53599567918181*C28+3.22062336896664*C22+5.56939536365427*C31)*EXP(((-4*PI()*(-2474.08365451656+448.613976729953*C31+207.58312042747*C22)*1000000000*6.02E+23)/(8.31*(C19+273.15)))*((((0.817581105867826+0.0645260838443783*C31)*0.0000000001/2*((0.817581105867826+0.0645260838443783*C31)*0.0000000001-1.3*0.0000000001)^2)-(1/3*((0.817581105867826+0.0645260838443783*C31)*0.0000000001-1.3*0.0000000001)^3))))</f>
        <v>2.4497686107657914</v>
      </c>
      <c r="D41" s="43">
        <f t="shared" si="41"/>
        <v>2.5754499235124202</v>
      </c>
      <c r="E41" s="43">
        <f t="shared" si="41"/>
        <v>2.9408508839990017</v>
      </c>
      <c r="F41" s="43">
        <f t="shared" si="41"/>
        <v>1.834632350664573</v>
      </c>
      <c r="G41" s="43">
        <f t="shared" si="41"/>
        <v>2.2451123205606724</v>
      </c>
      <c r="H41" s="43">
        <f t="shared" si="41"/>
        <v>1.6652652153749907</v>
      </c>
      <c r="I41" s="43">
        <f t="shared" si="41"/>
        <v>2.0476307030839465</v>
      </c>
      <c r="J41" s="43">
        <f t="shared" si="41"/>
        <v>3.1429741330858572</v>
      </c>
      <c r="K41" s="43">
        <f t="shared" si="41"/>
        <v>3.0111285352437251</v>
      </c>
      <c r="L41" s="43">
        <f t="shared" si="41"/>
        <v>2.4403769540868567</v>
      </c>
      <c r="M41" s="43">
        <f t="shared" si="41"/>
        <v>3.2120678191340413</v>
      </c>
      <c r="N41" s="43">
        <f t="shared" si="41"/>
        <v>3.1142025420378485</v>
      </c>
      <c r="O41" s="43">
        <f t="shared" si="41"/>
        <v>1.9200450268455176</v>
      </c>
      <c r="P41" s="43">
        <f t="shared" si="41"/>
        <v>2.9094479618669711</v>
      </c>
      <c r="Q41" s="43">
        <f t="shared" si="41"/>
        <v>2.4821973430805722</v>
      </c>
      <c r="R41" s="43">
        <f t="shared" si="41"/>
        <v>1.6732356843944685</v>
      </c>
      <c r="S41" s="43">
        <f t="shared" si="41"/>
        <v>2.3804100590361084</v>
      </c>
      <c r="T41" s="43">
        <f t="shared" si="41"/>
        <v>2.2055523359812534</v>
      </c>
      <c r="U41" s="43">
        <f t="shared" si="41"/>
        <v>1.1744582335748619</v>
      </c>
      <c r="V41" s="43">
        <f t="shared" si="41"/>
        <v>2.7735693286896241</v>
      </c>
      <c r="W41" s="43">
        <f t="shared" si="41"/>
        <v>1.6482230647740959</v>
      </c>
      <c r="X41" s="43">
        <f t="shared" si="41"/>
        <v>1.6666784460182187</v>
      </c>
      <c r="Y41" s="43">
        <f t="shared" si="41"/>
        <v>2.1558277537934045</v>
      </c>
      <c r="Z41" s="43">
        <f t="shared" si="41"/>
        <v>2.0474474168047681</v>
      </c>
      <c r="AA41" s="43">
        <f t="shared" si="41"/>
        <v>2.2812865927328634</v>
      </c>
      <c r="AB41" s="43">
        <f t="shared" si="41"/>
        <v>6.6585590646653374</v>
      </c>
      <c r="AC41" s="43">
        <f t="shared" si="41"/>
        <v>2.4935542493296827</v>
      </c>
      <c r="AD41" s="43">
        <f t="shared" si="41"/>
        <v>2.2925110287243591</v>
      </c>
      <c r="AE41" s="43">
        <f t="shared" si="41"/>
        <v>8.0237467243250009</v>
      </c>
    </row>
    <row r="42" spans="1:31" x14ac:dyDescent="0.2">
      <c r="A42" s="40" t="s">
        <v>16</v>
      </c>
      <c r="B42" s="43">
        <f>EXP(-61.9260681512942+65783.1796876913/(B$19+273.15)/8.31+2.53599567918181*B28+3.22062336896664*B22+5.56939536365427*B31)*EXP(((-4*PI()*(-2474.08365451656+448.613976729953*B31+207.58312042747*B22)*1000000000*6.02E+23)/(8.31*(B19+273.15)))*((((0.817581105867826+0.0645260838443783*B31)*0.0000000001/2*((0.817581105867826+0.0645260838443783*B31)*0.0000000001-1.31*0.0000000001)^2)-(1/3*((0.817581105867826+0.0645260838443783*B31)*0.0000000001-1.31*0.0000000001)^3))))</f>
        <v>2.055605497134152</v>
      </c>
      <c r="C42" s="43">
        <f t="shared" ref="C42:AE42" si="42">EXP(-61.9260681512942+65783.1796876913/(C$19+273.15)/8.31+2.53599567918181*C28+3.22062336896664*C22+5.56939536365427*C31)*EXP(((-4*PI()*(-2474.08365451656+448.613976729953*C31+207.58312042747*C22)*1000000000*6.02E+23)/(8.31*(C19+273.15)))*((((0.817581105867826+0.0645260838443783*C31)*0.0000000001/2*((0.817581105867826+0.0645260838443783*C31)*0.0000000001-1.31*0.0000000001)^2)-(1/3*((0.817581105867826+0.0645260838443783*C31)*0.0000000001-1.31*0.0000000001)^3))))</f>
        <v>2.0632320515832041</v>
      </c>
      <c r="D42" s="43">
        <f t="shared" si="42"/>
        <v>2.1656231775002475</v>
      </c>
      <c r="E42" s="43">
        <f t="shared" si="42"/>
        <v>2.4902309344601465</v>
      </c>
      <c r="F42" s="43">
        <f t="shared" si="42"/>
        <v>1.5544130346268918</v>
      </c>
      <c r="G42" s="43">
        <f t="shared" si="42"/>
        <v>1.896671159995911</v>
      </c>
      <c r="H42" s="43">
        <f t="shared" si="42"/>
        <v>1.406234215527266</v>
      </c>
      <c r="I42" s="43">
        <f t="shared" si="42"/>
        <v>1.7381327457201683</v>
      </c>
      <c r="J42" s="43">
        <f t="shared" si="42"/>
        <v>2.642085796970246</v>
      </c>
      <c r="K42" s="43">
        <f t="shared" si="42"/>
        <v>2.5265148168148608</v>
      </c>
      <c r="L42" s="43">
        <f t="shared" si="42"/>
        <v>1.9760440150572616</v>
      </c>
      <c r="M42" s="43">
        <f t="shared" si="42"/>
        <v>2.6436992784167237</v>
      </c>
      <c r="N42" s="43">
        <f t="shared" si="42"/>
        <v>2.5653335981166276</v>
      </c>
      <c r="O42" s="43">
        <f t="shared" si="42"/>
        <v>1.5722250179971355</v>
      </c>
      <c r="P42" s="43">
        <f t="shared" si="42"/>
        <v>2.4276016583714277</v>
      </c>
      <c r="Q42" s="43">
        <f t="shared" si="42"/>
        <v>2.0928045119089971</v>
      </c>
      <c r="R42" s="43">
        <f t="shared" si="42"/>
        <v>1.392926447945688</v>
      </c>
      <c r="S42" s="43">
        <f t="shared" si="42"/>
        <v>2.0396621784138436</v>
      </c>
      <c r="T42" s="43">
        <f t="shared" si="42"/>
        <v>1.8757619724467196</v>
      </c>
      <c r="U42" s="43">
        <f t="shared" si="42"/>
        <v>0.97231882049350593</v>
      </c>
      <c r="V42" s="43">
        <f t="shared" si="42"/>
        <v>2.3149628081226123</v>
      </c>
      <c r="W42" s="43">
        <f t="shared" si="42"/>
        <v>1.4039031370505846</v>
      </c>
      <c r="X42" s="43">
        <f t="shared" si="42"/>
        <v>1.4085869249260963</v>
      </c>
      <c r="Y42" s="43">
        <f t="shared" si="42"/>
        <v>1.7892979249046679</v>
      </c>
      <c r="Z42" s="43">
        <f t="shared" si="42"/>
        <v>1.7104179210457928</v>
      </c>
      <c r="AA42" s="43">
        <f t="shared" si="42"/>
        <v>1.9121405686336492</v>
      </c>
      <c r="AB42" s="43">
        <f t="shared" si="42"/>
        <v>5.3189091359005172</v>
      </c>
      <c r="AC42" s="43">
        <f t="shared" si="42"/>
        <v>2.1605379532827578</v>
      </c>
      <c r="AD42" s="43">
        <f t="shared" si="42"/>
        <v>1.9848577389438171</v>
      </c>
      <c r="AE42" s="43">
        <f t="shared" si="42"/>
        <v>6.2477989535403902</v>
      </c>
    </row>
    <row r="43" spans="1:31" x14ac:dyDescent="0.2">
      <c r="A43" s="39"/>
      <c r="B43" s="43"/>
    </row>
    <row r="44" spans="1:31" x14ac:dyDescent="0.2">
      <c r="A44" s="41" t="s">
        <v>17</v>
      </c>
      <c r="B44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-1.216*0.0000000001)^2)-(1/3*((1.13420686227572+0.136783049036052*B29)*0.0000000001-1.216*0.0000000001)^3))))</f>
        <v>7.0200633298285027</v>
      </c>
      <c r="C44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-1.216*0.0000000001)^2)-(1/3*((1.13420686227572+0.136783049036052*C29)*0.0000000001-1.216*0.0000000001)^3))))</f>
        <v>6.5994550904622695</v>
      </c>
      <c r="D44" s="43">
        <f t="shared" ref="D44:AE44" si="43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-1.216*0.0000000001)^2)-(1/3*((1.13420686227572+0.136783049036052*D29)*0.0000000001-1.216*0.0000000001)^3))))</f>
        <v>6.3857568555585473</v>
      </c>
      <c r="E44" s="43">
        <f t="shared" si="43"/>
        <v>9.8311532722049524</v>
      </c>
      <c r="F44" s="43">
        <f t="shared" si="43"/>
        <v>2.8759064772582525</v>
      </c>
      <c r="G44" s="43">
        <f t="shared" si="43"/>
        <v>3.7086353217045893</v>
      </c>
      <c r="H44" s="43">
        <f t="shared" si="43"/>
        <v>1.6201162098634452</v>
      </c>
      <c r="I44" s="43">
        <f t="shared" si="43"/>
        <v>2.993655567918494</v>
      </c>
      <c r="J44" s="43">
        <f t="shared" si="43"/>
        <v>9.7124258505692609</v>
      </c>
      <c r="K44" s="43">
        <f t="shared" si="43"/>
        <v>8.9801079837768416</v>
      </c>
      <c r="L44" s="43">
        <f t="shared" si="43"/>
        <v>2.990113627967844</v>
      </c>
      <c r="M44" s="43">
        <f t="shared" si="43"/>
        <v>3.0370502327560085</v>
      </c>
      <c r="N44" s="43">
        <f t="shared" si="43"/>
        <v>3.3449131402799104</v>
      </c>
      <c r="O44" s="43">
        <f t="shared" si="43"/>
        <v>3.2018421389466991</v>
      </c>
      <c r="P44" s="43">
        <f t="shared" si="43"/>
        <v>2.0870085490549286</v>
      </c>
      <c r="Q44" s="43">
        <f t="shared" si="43"/>
        <v>1.3187695203013257</v>
      </c>
      <c r="R44" s="43">
        <f t="shared" si="43"/>
        <v>0.52850420371299212</v>
      </c>
      <c r="S44" s="43">
        <f t="shared" si="43"/>
        <v>1.5570667402311495</v>
      </c>
      <c r="T44" s="43">
        <f t="shared" si="43"/>
        <v>1.1243889265838245</v>
      </c>
      <c r="U44" s="43">
        <f t="shared" si="43"/>
        <v>0.63190382420038205</v>
      </c>
      <c r="V44" s="43">
        <f t="shared" si="43"/>
        <v>2.5522732826202077</v>
      </c>
      <c r="W44" s="43">
        <f t="shared" si="43"/>
        <v>1.295947262852891</v>
      </c>
      <c r="X44" s="43">
        <f t="shared" si="43"/>
        <v>1.0103872495420791</v>
      </c>
      <c r="Y44" s="43">
        <f t="shared" si="43"/>
        <v>1.0954424544861916</v>
      </c>
      <c r="Z44" s="43">
        <f t="shared" si="43"/>
        <v>0.96504446389777288</v>
      </c>
      <c r="AA44" s="43">
        <f t="shared" si="43"/>
        <v>1.4495288513292801</v>
      </c>
      <c r="AB44" s="43">
        <f t="shared" si="43"/>
        <v>15.082193084302959</v>
      </c>
      <c r="AC44" s="43">
        <f t="shared" si="43"/>
        <v>2.3220312465275423</v>
      </c>
      <c r="AD44" s="43">
        <f t="shared" si="43"/>
        <v>1.416842752024938</v>
      </c>
      <c r="AE44" s="43">
        <f t="shared" si="43"/>
        <v>66.595217549609202</v>
      </c>
    </row>
    <row r="45" spans="1:31" x14ac:dyDescent="0.2">
      <c r="A45" s="41" t="s">
        <v>18</v>
      </c>
      <c r="B45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-1.196*0.0000000001)^2)-(1/3*((1.13420686227572+0.136783049036052*B29)*0.0000000001-1.196*0.0000000001)^3))))</f>
        <v>8.6440239029628962</v>
      </c>
      <c r="C45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-1.196*0.0000000001)^2)-(1/3*((1.13420686227572+0.136783049036052*C29)*0.0000000001-1.196*0.0000000001)^3))))</f>
        <v>8.0908072369452011</v>
      </c>
      <c r="D45" s="43">
        <f t="shared" ref="D45:AE45" si="44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-1.196*0.0000000001)^2)-(1/3*((1.13420686227572+0.136783049036052*D29)*0.0000000001-1.196*0.0000000001)^3))))</f>
        <v>8.2690828184007525</v>
      </c>
      <c r="E45" s="43">
        <f t="shared" si="44"/>
        <v>13.101081329410958</v>
      </c>
      <c r="F45" s="43">
        <f t="shared" si="44"/>
        <v>3.7680430302026058</v>
      </c>
      <c r="G45" s="43">
        <f t="shared" si="44"/>
        <v>5.0425923921903557</v>
      </c>
      <c r="H45" s="43">
        <f t="shared" si="44"/>
        <v>2.1998985025295581</v>
      </c>
      <c r="I45" s="43">
        <f t="shared" si="44"/>
        <v>4.0138593803247815</v>
      </c>
      <c r="J45" s="43">
        <f t="shared" si="44"/>
        <v>13.111972975302226</v>
      </c>
      <c r="K45" s="43">
        <f t="shared" si="44"/>
        <v>12.236518869697262</v>
      </c>
      <c r="L45" s="43">
        <f t="shared" si="44"/>
        <v>4.2681016644232246</v>
      </c>
      <c r="M45" s="43">
        <f t="shared" si="44"/>
        <v>4.4117517054981237</v>
      </c>
      <c r="N45" s="43">
        <f t="shared" si="44"/>
        <v>4.7930675774939067</v>
      </c>
      <c r="O45" s="43">
        <f t="shared" si="44"/>
        <v>4.2526460527167513</v>
      </c>
      <c r="P45" s="43">
        <f t="shared" si="44"/>
        <v>2.9017607812661779</v>
      </c>
      <c r="Q45" s="43">
        <f t="shared" si="44"/>
        <v>1.7830693369272326</v>
      </c>
      <c r="R45" s="43">
        <f t="shared" si="44"/>
        <v>0.70584808817519196</v>
      </c>
      <c r="S45" s="43">
        <f t="shared" si="44"/>
        <v>2.0615786518065771</v>
      </c>
      <c r="T45" s="43">
        <f t="shared" si="44"/>
        <v>1.5187026175452456</v>
      </c>
      <c r="U45" s="43">
        <f t="shared" si="44"/>
        <v>0.81675054523488133</v>
      </c>
      <c r="V45" s="43">
        <f t="shared" si="44"/>
        <v>3.5643949022490524</v>
      </c>
      <c r="W45" s="43">
        <f t="shared" si="44"/>
        <v>1.6308827543411646</v>
      </c>
      <c r="X45" s="43">
        <f t="shared" si="44"/>
        <v>1.3026774580983373</v>
      </c>
      <c r="Y45" s="43">
        <f t="shared" si="44"/>
        <v>1.5499811258138279</v>
      </c>
      <c r="Z45" s="43">
        <f t="shared" si="44"/>
        <v>1.3446935875277219</v>
      </c>
      <c r="AA45" s="43">
        <f t="shared" si="44"/>
        <v>1.9903258959969317</v>
      </c>
      <c r="AB45" s="43">
        <f t="shared" si="44"/>
        <v>21.732091814417878</v>
      </c>
      <c r="AC45" s="43">
        <f t="shared" si="44"/>
        <v>2.9938348014137417</v>
      </c>
      <c r="AD45" s="43">
        <f t="shared" si="44"/>
        <v>1.7775667444348475</v>
      </c>
      <c r="AE45" s="43">
        <f t="shared" si="44"/>
        <v>88.161160754006644</v>
      </c>
    </row>
    <row r="46" spans="1:31" x14ac:dyDescent="0.2">
      <c r="A46" s="41" t="s">
        <v>19</v>
      </c>
      <c r="B46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-1.179*0.0000000001)^2)-(1/3*((1.13420686227572+0.136783049036052*B29)*0.0000000001-1.179*0.0000000001)^3))))</f>
        <v>9.5588546313572067</v>
      </c>
      <c r="C46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-1.179*0.0000000001)^2)-(1/3*((1.13420686227572+0.136783049036052*C29)*0.0000000001-1.179*0.0000000001)^3))))</f>
        <v>8.9396916765003347</v>
      </c>
      <c r="D46" s="43">
        <f t="shared" ref="D46:AE46" si="45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-1.179*0.0000000001)^2)-(1/3*((1.13420686227572+0.136783049036052*D29)*0.0000000001-1.179*0.0000000001)^3))))</f>
        <v>9.5518599801467943</v>
      </c>
      <c r="E46" s="43">
        <f t="shared" si="45"/>
        <v>15.587708544800359</v>
      </c>
      <c r="F46" s="43">
        <f t="shared" si="45"/>
        <v>4.4356130086491357</v>
      </c>
      <c r="G46" s="43">
        <f t="shared" si="45"/>
        <v>6.0901435375797277</v>
      </c>
      <c r="H46" s="43">
        <f t="shared" si="45"/>
        <v>2.6581898270294673</v>
      </c>
      <c r="I46" s="43">
        <f t="shared" si="45"/>
        <v>4.8061708792460118</v>
      </c>
      <c r="J46" s="43">
        <f t="shared" si="45"/>
        <v>15.663000920124468</v>
      </c>
      <c r="K46" s="43">
        <f t="shared" si="45"/>
        <v>14.736224783356624</v>
      </c>
      <c r="L46" s="43">
        <f t="shared" si="45"/>
        <v>5.3241796845064346</v>
      </c>
      <c r="M46" s="43">
        <f t="shared" si="45"/>
        <v>5.5636301955732694</v>
      </c>
      <c r="N46" s="43">
        <f t="shared" si="45"/>
        <v>5.9934416674935882</v>
      </c>
      <c r="O46" s="43">
        <f t="shared" si="45"/>
        <v>5.0726926112291926</v>
      </c>
      <c r="P46" s="43">
        <f t="shared" si="45"/>
        <v>3.5580553289762347</v>
      </c>
      <c r="Q46" s="43">
        <f t="shared" si="45"/>
        <v>2.1463538403452378</v>
      </c>
      <c r="R46" s="43">
        <f t="shared" si="45"/>
        <v>0.83906240386529307</v>
      </c>
      <c r="S46" s="43">
        <f t="shared" si="45"/>
        <v>2.4523977051624395</v>
      </c>
      <c r="T46" s="43">
        <f t="shared" si="45"/>
        <v>1.8293081919491763</v>
      </c>
      <c r="U46" s="43">
        <f t="shared" si="45"/>
        <v>0.95304321998342101</v>
      </c>
      <c r="V46" s="43">
        <f t="shared" si="45"/>
        <v>4.3835889153539398</v>
      </c>
      <c r="W46" s="43">
        <f t="shared" si="45"/>
        <v>1.8762253940854818</v>
      </c>
      <c r="X46" s="43">
        <f t="shared" si="45"/>
        <v>1.5184118175131955</v>
      </c>
      <c r="Y46" s="43">
        <f t="shared" si="45"/>
        <v>1.9211768245506315</v>
      </c>
      <c r="Z46" s="43">
        <f t="shared" si="45"/>
        <v>1.6511326942689641</v>
      </c>
      <c r="AA46" s="43">
        <f t="shared" si="45"/>
        <v>2.4188446800177226</v>
      </c>
      <c r="AB46" s="43">
        <f t="shared" si="45"/>
        <v>26.959092259131008</v>
      </c>
      <c r="AC46" s="43">
        <f t="shared" si="45"/>
        <v>3.4913452152574922</v>
      </c>
      <c r="AD46" s="43">
        <f t="shared" si="45"/>
        <v>2.0248713286314191</v>
      </c>
      <c r="AE46" s="43">
        <f t="shared" si="45"/>
        <v>104.94729162085912</v>
      </c>
    </row>
    <row r="47" spans="1:31" x14ac:dyDescent="0.2">
      <c r="A47" s="41" t="s">
        <v>20</v>
      </c>
      <c r="B47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-1.163*0.0000000001)^2)-(1/3*((1.13420686227572+0.136783049036052*B29)*0.0000000001-1.163*0.0000000001)^3))))</f>
        <v>9.874479970919694</v>
      </c>
      <c r="C47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-1.163*0.0000000001)^2)-(1/3*((1.13420686227572+0.136783049036052*C29)*0.0000000001-1.163*0.0000000001)^3))))</f>
        <v>9.2493266361415962</v>
      </c>
      <c r="D47" s="43">
        <f t="shared" ref="D47:AE47" si="46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-1.163*0.0000000001)^2)-(1/3*((1.13420686227572+0.136783049036052*D29)*0.0000000001-1.163*0.0000000001)^3))))</f>
        <v>10.287308754655978</v>
      </c>
      <c r="E47" s="43">
        <f t="shared" si="46"/>
        <v>17.334767079237452</v>
      </c>
      <c r="F47" s="43">
        <f t="shared" si="46"/>
        <v>4.8983143691505227</v>
      </c>
      <c r="G47" s="43">
        <f t="shared" si="46"/>
        <v>6.8567906016309017</v>
      </c>
      <c r="H47" s="43">
        <f t="shared" si="46"/>
        <v>2.9981368448728367</v>
      </c>
      <c r="I47" s="43">
        <f t="shared" si="46"/>
        <v>5.3819931359018716</v>
      </c>
      <c r="J47" s="43">
        <f t="shared" si="46"/>
        <v>17.383866275523818</v>
      </c>
      <c r="K47" s="43">
        <f t="shared" si="46"/>
        <v>16.483315896805511</v>
      </c>
      <c r="L47" s="43">
        <f t="shared" si="46"/>
        <v>6.1345601688686671</v>
      </c>
      <c r="M47" s="43">
        <f t="shared" si="46"/>
        <v>6.4553471389265544</v>
      </c>
      <c r="N47" s="43">
        <f t="shared" si="46"/>
        <v>6.9163431471727694</v>
      </c>
      <c r="O47" s="43">
        <f t="shared" si="46"/>
        <v>5.6795313520787039</v>
      </c>
      <c r="P47" s="43">
        <f t="shared" si="46"/>
        <v>4.0507633704990633</v>
      </c>
      <c r="Q47" s="43">
        <f t="shared" si="46"/>
        <v>2.4118806565499971</v>
      </c>
      <c r="R47" s="43">
        <f t="shared" si="46"/>
        <v>0.93020054040844136</v>
      </c>
      <c r="S47" s="43">
        <f t="shared" si="46"/>
        <v>2.7385783117327125</v>
      </c>
      <c r="T47" s="43">
        <f t="shared" si="46"/>
        <v>2.0594048331364561</v>
      </c>
      <c r="U47" s="43">
        <f t="shared" si="46"/>
        <v>1.0461567611503004</v>
      </c>
      <c r="V47" s="43">
        <f t="shared" si="46"/>
        <v>5.0014184224781637</v>
      </c>
      <c r="W47" s="43">
        <f t="shared" si="46"/>
        <v>2.0463944512427599</v>
      </c>
      <c r="X47" s="43">
        <f t="shared" si="46"/>
        <v>1.6664883639761474</v>
      </c>
      <c r="Y47" s="43">
        <f t="shared" si="46"/>
        <v>2.2022248175373362</v>
      </c>
      <c r="Z47" s="43">
        <f t="shared" si="46"/>
        <v>1.8815799802222186</v>
      </c>
      <c r="AA47" s="43">
        <f t="shared" si="46"/>
        <v>2.7347047893633651</v>
      </c>
      <c r="AB47" s="43">
        <f t="shared" si="46"/>
        <v>30.560800145560556</v>
      </c>
      <c r="AC47" s="43">
        <f t="shared" si="46"/>
        <v>3.8350476355921463</v>
      </c>
      <c r="AD47" s="43">
        <f t="shared" si="46"/>
        <v>2.1751576386454747</v>
      </c>
      <c r="AE47" s="43">
        <f t="shared" si="46"/>
        <v>117.34857521975653</v>
      </c>
    </row>
    <row r="48" spans="1:31" x14ac:dyDescent="0.2">
      <c r="A48" s="41" t="s">
        <v>21</v>
      </c>
      <c r="B48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-1.132*0.0000000001)^2)-(1/3*((1.13420686227572+0.136783049036052*B29)*0.0000000001-1.132*0.0000000001)^3))))</f>
        <v>8.9118895817516943</v>
      </c>
      <c r="C48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-1.132*0.0000000001)^2)-(1/3*((1.13420686227572+0.136783049036052*C29)*0.0000000001-1.132*0.0000000001)^3))))</f>
        <v>8.4253313622062809</v>
      </c>
      <c r="D48" s="43">
        <f t="shared" ref="D48:AE48" si="47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-1.132*0.0000000001)^2)-(1/3*((1.13420686227572+0.136783049036052*D29)*0.0000000001-1.132*0.0000000001)^3))))</f>
        <v>10.082154102190716</v>
      </c>
      <c r="E48" s="43">
        <f t="shared" si="47"/>
        <v>18.281004085045435</v>
      </c>
      <c r="F48" s="43">
        <f t="shared" si="47"/>
        <v>5.1375274602089265</v>
      </c>
      <c r="G48" s="43">
        <f t="shared" si="47"/>
        <v>7.3715293931095092</v>
      </c>
      <c r="H48" s="43">
        <f t="shared" si="47"/>
        <v>3.2457276101390273</v>
      </c>
      <c r="I48" s="43">
        <f t="shared" si="47"/>
        <v>5.7668247330757945</v>
      </c>
      <c r="J48" s="43">
        <f t="shared" si="47"/>
        <v>17.985371161246185</v>
      </c>
      <c r="K48" s="43">
        <f t="shared" si="47"/>
        <v>17.320817899746856</v>
      </c>
      <c r="L48" s="43">
        <f t="shared" si="47"/>
        <v>6.7638128382095672</v>
      </c>
      <c r="M48" s="43">
        <f t="shared" si="47"/>
        <v>7.1518189837819985</v>
      </c>
      <c r="N48" s="43">
        <f t="shared" si="47"/>
        <v>7.6338941076981026</v>
      </c>
      <c r="O48" s="43">
        <f t="shared" si="47"/>
        <v>6.1395311591228481</v>
      </c>
      <c r="P48" s="43">
        <f t="shared" si="47"/>
        <v>4.412749705016016</v>
      </c>
      <c r="Q48" s="43">
        <f t="shared" si="47"/>
        <v>2.5914553079512839</v>
      </c>
      <c r="R48" s="43">
        <f t="shared" si="47"/>
        <v>0.96921373661392463</v>
      </c>
      <c r="S48" s="43">
        <f t="shared" si="47"/>
        <v>2.9449959820344609</v>
      </c>
      <c r="T48" s="43">
        <f t="shared" si="47"/>
        <v>2.2279462469186067</v>
      </c>
      <c r="U48" s="43">
        <f t="shared" si="47"/>
        <v>1.0910990093781192</v>
      </c>
      <c r="V48" s="43">
        <f t="shared" si="47"/>
        <v>5.46191943570531</v>
      </c>
      <c r="W48" s="43">
        <f t="shared" si="47"/>
        <v>2.1473624162176908</v>
      </c>
      <c r="X48" s="43">
        <f t="shared" si="47"/>
        <v>1.7414830227072504</v>
      </c>
      <c r="Y48" s="43">
        <f t="shared" si="47"/>
        <v>2.4095918978018651</v>
      </c>
      <c r="Z48" s="43">
        <f t="shared" si="47"/>
        <v>2.0515799181313916</v>
      </c>
      <c r="AA48" s="43">
        <f t="shared" si="47"/>
        <v>2.9503728438085828</v>
      </c>
      <c r="AB48" s="43">
        <f t="shared" si="47"/>
        <v>31.704071085194478</v>
      </c>
      <c r="AC48" s="43">
        <f t="shared" si="47"/>
        <v>4.0182327584496651</v>
      </c>
      <c r="AD48" s="43">
        <f t="shared" si="47"/>
        <v>2.1815386433286474</v>
      </c>
      <c r="AE48" s="43">
        <f t="shared" si="47"/>
        <v>126.7387693848632</v>
      </c>
    </row>
    <row r="49" spans="1:31" ht="18" x14ac:dyDescent="0.2">
      <c r="A49" s="41" t="s">
        <v>79</v>
      </c>
      <c r="B49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-1.12*0.0000000001)^2)-(1/3*((1.13420686227572+0.136783049036052*B29)*0.0000000001-1.12*0.0000000001)^3))))</f>
        <v>8.0935367750066831</v>
      </c>
      <c r="C49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-1.12*0.0000000001)^2)-(1/3*((1.13420686227572+0.136783049036052*C29)*0.0000000001-1.12*0.0000000001)^3))))</f>
        <v>7.6955036519696254</v>
      </c>
      <c r="D49" s="43">
        <f t="shared" ref="D49:AE49" si="48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-1.12*0.0000000001)^2)-(1/3*((1.13420686227572+0.136783049036052*D29)*0.0000000001-1.12*0.0000000001)^3))))</f>
        <v>9.4583400223560172</v>
      </c>
      <c r="E49" s="43">
        <f t="shared" si="48"/>
        <v>17.710771517539634</v>
      </c>
      <c r="F49" s="43">
        <f t="shared" si="48"/>
        <v>4.9805568867244334</v>
      </c>
      <c r="G49" s="43">
        <f t="shared" si="48"/>
        <v>7.1834620824972086</v>
      </c>
      <c r="H49" s="43">
        <f t="shared" si="48"/>
        <v>3.1752724127178507</v>
      </c>
      <c r="I49" s="43">
        <f t="shared" si="48"/>
        <v>5.6262451416234569</v>
      </c>
      <c r="J49" s="43">
        <f t="shared" si="48"/>
        <v>17.205686362642393</v>
      </c>
      <c r="K49" s="43">
        <f t="shared" si="48"/>
        <v>16.672360298671293</v>
      </c>
      <c r="L49" s="43">
        <f t="shared" si="48"/>
        <v>6.6116732135052541</v>
      </c>
      <c r="M49" s="43">
        <f t="shared" si="48"/>
        <v>6.9831227320189102</v>
      </c>
      <c r="N49" s="43">
        <f t="shared" si="48"/>
        <v>7.4603365922017906</v>
      </c>
      <c r="O49" s="43">
        <f t="shared" si="48"/>
        <v>6.0291381200666416</v>
      </c>
      <c r="P49" s="43">
        <f t="shared" si="48"/>
        <v>4.3098695439678893</v>
      </c>
      <c r="Q49" s="43">
        <f t="shared" si="48"/>
        <v>2.527520879549952</v>
      </c>
      <c r="R49" s="43">
        <f t="shared" si="48"/>
        <v>0.93268435228609003</v>
      </c>
      <c r="S49" s="43">
        <f t="shared" si="48"/>
        <v>2.8860934827993763</v>
      </c>
      <c r="T49" s="43">
        <f t="shared" si="48"/>
        <v>2.1811931230482093</v>
      </c>
      <c r="U49" s="43">
        <f t="shared" si="48"/>
        <v>1.0576420619340341</v>
      </c>
      <c r="V49" s="43">
        <f t="shared" si="48"/>
        <v>5.3365986831006325</v>
      </c>
      <c r="W49" s="43">
        <f t="shared" si="48"/>
        <v>2.0996851544485375</v>
      </c>
      <c r="X49" s="43">
        <f t="shared" si="48"/>
        <v>1.690676761348572</v>
      </c>
      <c r="Y49" s="43">
        <f t="shared" si="48"/>
        <v>2.350287757197866</v>
      </c>
      <c r="Z49" s="43">
        <f t="shared" si="48"/>
        <v>2.0037976115098468</v>
      </c>
      <c r="AA49" s="43">
        <f t="shared" si="48"/>
        <v>2.8745431949374418</v>
      </c>
      <c r="AB49" s="43">
        <f t="shared" si="48"/>
        <v>29.966334826073325</v>
      </c>
      <c r="AC49" s="43">
        <f t="shared" si="48"/>
        <v>3.9063464828387602</v>
      </c>
      <c r="AD49" s="43">
        <f t="shared" si="48"/>
        <v>2.0848429678438456</v>
      </c>
      <c r="AE49" s="43">
        <f t="shared" si="48"/>
        <v>124.4860295967092</v>
      </c>
    </row>
    <row r="50" spans="1:31" x14ac:dyDescent="0.2">
      <c r="A50" s="41" t="s">
        <v>22</v>
      </c>
      <c r="B50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-1.107*0.0000000001)^2)-(1/3*((1.13420686227572+0.136783049036052*B29)*0.0000000001-1.107*0.0000000001)^3))))</f>
        <v>7.0445430672595872</v>
      </c>
      <c r="C50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-1.107*0.0000000001)^2)-(1/3*((1.13420686227572+0.136783049036052*C29)*0.0000000001-1.107*0.0000000001)^3))))</f>
        <v>6.748426082628276</v>
      </c>
      <c r="D50" s="43">
        <f t="shared" ref="D50:AE50" si="49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-1.107*0.0000000001)^2)-(1/3*((1.13420686227572+0.136783049036052*D29)*0.0000000001-1.107*0.0000000001)^3))))</f>
        <v>8.5297345531506448</v>
      </c>
      <c r="E50" s="43">
        <f t="shared" si="49"/>
        <v>16.576823165847433</v>
      </c>
      <c r="F50" s="43">
        <f t="shared" si="49"/>
        <v>4.6728993501749043</v>
      </c>
      <c r="G50" s="43">
        <f t="shared" si="49"/>
        <v>6.7596349866074901</v>
      </c>
      <c r="H50" s="43">
        <f t="shared" si="49"/>
        <v>3.0027679196412933</v>
      </c>
      <c r="I50" s="43">
        <f t="shared" si="49"/>
        <v>5.3088974619705196</v>
      </c>
      <c r="J50" s="43">
        <f t="shared" si="49"/>
        <v>15.834838739574231</v>
      </c>
      <c r="K50" s="43">
        <f t="shared" si="49"/>
        <v>15.448101423435658</v>
      </c>
      <c r="L50" s="43">
        <f t="shared" si="49"/>
        <v>6.2170805394756998</v>
      </c>
      <c r="M50" s="43">
        <f t="shared" si="49"/>
        <v>6.5464896756976954</v>
      </c>
      <c r="N50" s="43">
        <f t="shared" si="49"/>
        <v>7.0103990371516431</v>
      </c>
      <c r="O50" s="43">
        <f t="shared" si="49"/>
        <v>5.7403813647595596</v>
      </c>
      <c r="P50" s="43">
        <f t="shared" si="49"/>
        <v>4.058417238934366</v>
      </c>
      <c r="Q50" s="43">
        <f t="shared" si="49"/>
        <v>2.3821945412369048</v>
      </c>
      <c r="R50" s="43">
        <f t="shared" si="49"/>
        <v>0.86554338544772491</v>
      </c>
      <c r="S50" s="43">
        <f t="shared" si="49"/>
        <v>2.741676777347803</v>
      </c>
      <c r="T50" s="43">
        <f t="shared" si="49"/>
        <v>2.0656060335134043</v>
      </c>
      <c r="U50" s="43">
        <f t="shared" si="49"/>
        <v>0.99343533115239857</v>
      </c>
      <c r="V50" s="43">
        <f t="shared" si="49"/>
        <v>5.0255162514452429</v>
      </c>
      <c r="W50" s="43">
        <f t="shared" si="49"/>
        <v>1.9985621869822945</v>
      </c>
      <c r="X50" s="43">
        <f t="shared" si="49"/>
        <v>1.5914371587475216</v>
      </c>
      <c r="Y50" s="43">
        <f t="shared" si="49"/>
        <v>2.2059019420095325</v>
      </c>
      <c r="Z50" s="43">
        <f t="shared" si="49"/>
        <v>1.8865640309598326</v>
      </c>
      <c r="AA50" s="43">
        <f t="shared" si="49"/>
        <v>2.7018100251795722</v>
      </c>
      <c r="AB50" s="43">
        <f t="shared" si="49"/>
        <v>27.004725790439974</v>
      </c>
      <c r="AC50" s="43">
        <f t="shared" si="49"/>
        <v>3.6832808022376291</v>
      </c>
      <c r="AD50" s="43">
        <f t="shared" si="49"/>
        <v>1.9295301199354593</v>
      </c>
      <c r="AE50" s="43">
        <f t="shared" si="49"/>
        <v>118.59122525873885</v>
      </c>
    </row>
    <row r="51" spans="1:31" x14ac:dyDescent="0.2">
      <c r="A51" s="41" t="s">
        <v>23</v>
      </c>
      <c r="B51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-1.095*0.0000000001)^2)-(1/3*((1.13420686227572+0.136783049036052*B29)*0.0000000001-1.095*0.0000000001)^3))))</f>
        <v>6.0076462878570425</v>
      </c>
      <c r="C51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-1.095*0.0000000001)^2)-(1/3*((1.13420686227572+0.136783049036052*C29)*0.0000000001-1.095*0.0000000001)^3))))</f>
        <v>5.801792202704088</v>
      </c>
      <c r="D51" s="43">
        <f t="shared" ref="D51:AE51" si="50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-1.095*0.0000000001)^2)-(1/3*((1.13420686227572+0.136783049036052*D29)*0.0000000001-1.095*0.0000000001)^3))))</f>
        <v>7.5184747295556544</v>
      </c>
      <c r="E51" s="43">
        <f t="shared" si="50"/>
        <v>15.153000320366244</v>
      </c>
      <c r="F51" s="43">
        <f t="shared" si="50"/>
        <v>4.2875679971269358</v>
      </c>
      <c r="G51" s="43">
        <f t="shared" si="50"/>
        <v>6.2041646388953238</v>
      </c>
      <c r="H51" s="43">
        <f t="shared" si="50"/>
        <v>2.7704728860184273</v>
      </c>
      <c r="I51" s="43">
        <f t="shared" si="50"/>
        <v>4.8916319931446592</v>
      </c>
      <c r="J51" s="43">
        <f t="shared" si="50"/>
        <v>14.210439651716355</v>
      </c>
      <c r="K51" s="43">
        <f t="shared" si="50"/>
        <v>13.951229417209461</v>
      </c>
      <c r="L51" s="43">
        <f t="shared" si="50"/>
        <v>5.6814414430310158</v>
      </c>
      <c r="M51" s="43">
        <f t="shared" si="50"/>
        <v>5.9559813565210069</v>
      </c>
      <c r="N51" s="43">
        <f t="shared" si="50"/>
        <v>6.4001333766601114</v>
      </c>
      <c r="O51" s="43">
        <f t="shared" si="50"/>
        <v>5.3423724685085201</v>
      </c>
      <c r="P51" s="43">
        <f t="shared" si="50"/>
        <v>3.721456940436016</v>
      </c>
      <c r="Q51" s="43">
        <f t="shared" si="50"/>
        <v>2.19096757266824</v>
      </c>
      <c r="R51" s="43">
        <f t="shared" si="50"/>
        <v>0.78410042331150831</v>
      </c>
      <c r="S51" s="43">
        <f t="shared" si="50"/>
        <v>2.5462196104524146</v>
      </c>
      <c r="T51" s="43">
        <f t="shared" si="50"/>
        <v>1.9093457553141779</v>
      </c>
      <c r="U51" s="43">
        <f t="shared" si="50"/>
        <v>0.91350562478370934</v>
      </c>
      <c r="V51" s="43">
        <f t="shared" si="50"/>
        <v>4.6070103850207627</v>
      </c>
      <c r="W51" s="43">
        <f t="shared" si="50"/>
        <v>1.8668890215815144</v>
      </c>
      <c r="X51" s="43">
        <f t="shared" si="50"/>
        <v>1.4669092167847322</v>
      </c>
      <c r="Y51" s="43">
        <f t="shared" si="50"/>
        <v>2.0132658594707458</v>
      </c>
      <c r="Z51" s="43">
        <f t="shared" si="50"/>
        <v>1.7293416575102727</v>
      </c>
      <c r="AA51" s="43">
        <f t="shared" si="50"/>
        <v>2.4750165500009502</v>
      </c>
      <c r="AB51" s="43">
        <f t="shared" si="50"/>
        <v>23.597949451398364</v>
      </c>
      <c r="AC51" s="43">
        <f t="shared" si="50"/>
        <v>3.4010219798548369</v>
      </c>
      <c r="AD51" s="43">
        <f t="shared" si="50"/>
        <v>1.7511621217630826</v>
      </c>
      <c r="AE51" s="43">
        <f t="shared" si="50"/>
        <v>110.4604400848073</v>
      </c>
    </row>
    <row r="52" spans="1:31" x14ac:dyDescent="0.2">
      <c r="A52" s="41" t="s">
        <v>24</v>
      </c>
      <c r="B52" s="44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-1.083*0.0000000001)^2)-(1/3*((1.13420686227572+0.136783049036052*B29)*0.0000000001-1.083*0.0000000001)^3))))</f>
        <v>4.976217361168473</v>
      </c>
      <c r="C52" s="44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-1.083*0.0000000001)^2)-(1/3*((1.13420686227572+0.136783049036052*C29)*0.0000000001-1.083*0.0000000001)^3))))</f>
        <v>4.8499877593519232</v>
      </c>
      <c r="D52" s="44">
        <f t="shared" ref="D52:AE52" si="51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-1.083*0.0000000001)^2)-(1/3*((1.13420686227572+0.136783049036052*D29)*0.0000000001-1.083*0.0000000001)^3))))</f>
        <v>6.4384035617383528</v>
      </c>
      <c r="E52" s="44">
        <f t="shared" si="51"/>
        <v>13.483194043482824</v>
      </c>
      <c r="F52" s="44">
        <f t="shared" si="51"/>
        <v>3.8349028163191727</v>
      </c>
      <c r="G52" s="44">
        <f t="shared" si="51"/>
        <v>5.5383363032121409</v>
      </c>
      <c r="H52" s="44">
        <f t="shared" si="51"/>
        <v>2.4876548147523412</v>
      </c>
      <c r="I52" s="44">
        <f t="shared" si="51"/>
        <v>4.3892270364055381</v>
      </c>
      <c r="J52" s="44">
        <f t="shared" si="51"/>
        <v>12.3803197939085</v>
      </c>
      <c r="K52" s="44">
        <f t="shared" si="51"/>
        <v>12.232370758728109</v>
      </c>
      <c r="L52" s="44">
        <f t="shared" si="51"/>
        <v>5.0323053516395744</v>
      </c>
      <c r="M52" s="44">
        <f t="shared" si="51"/>
        <v>5.2440463713780536</v>
      </c>
      <c r="N52" s="44">
        <f t="shared" si="51"/>
        <v>5.6614038047230908</v>
      </c>
      <c r="O52" s="44">
        <f t="shared" si="51"/>
        <v>4.8496445896723044</v>
      </c>
      <c r="P52" s="44">
        <f t="shared" si="51"/>
        <v>3.3140850039204235</v>
      </c>
      <c r="Q52" s="44">
        <f t="shared" si="51"/>
        <v>1.9609813768847859</v>
      </c>
      <c r="R52" s="44">
        <f t="shared" si="51"/>
        <v>0.69070430996759635</v>
      </c>
      <c r="S52" s="44">
        <f t="shared" si="51"/>
        <v>2.3064767503780641</v>
      </c>
      <c r="T52" s="44">
        <f t="shared" si="51"/>
        <v>1.7185032356103653</v>
      </c>
      <c r="U52" s="44">
        <f t="shared" si="51"/>
        <v>0.81971660854206996</v>
      </c>
      <c r="V52" s="44">
        <f t="shared" si="51"/>
        <v>4.1003513305927832</v>
      </c>
      <c r="W52" s="44">
        <f t="shared" si="51"/>
        <v>1.7073240552170561</v>
      </c>
      <c r="X52" s="44">
        <f t="shared" si="51"/>
        <v>1.3199933138579769</v>
      </c>
      <c r="Y52" s="44">
        <f t="shared" si="51"/>
        <v>1.7816871815764501</v>
      </c>
      <c r="Z52" s="44">
        <f t="shared" si="51"/>
        <v>1.5392574740687988</v>
      </c>
      <c r="AA52" s="44">
        <f t="shared" si="51"/>
        <v>2.2033744685552059</v>
      </c>
      <c r="AB52" s="44">
        <f t="shared" si="51"/>
        <v>19.884147223046607</v>
      </c>
      <c r="AC52" s="44">
        <f t="shared" si="51"/>
        <v>3.0663084197183843</v>
      </c>
      <c r="AD52" s="44">
        <f t="shared" si="51"/>
        <v>1.5516758357125593</v>
      </c>
      <c r="AE52" s="44">
        <f t="shared" si="51"/>
        <v>100.38489790424069</v>
      </c>
    </row>
    <row r="53" spans="1:31" x14ac:dyDescent="0.2">
      <c r="A53" s="41" t="s">
        <v>25</v>
      </c>
      <c r="B53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-1.075*0.0000000001)^2)-(1/3*((1.13420686227572+0.136783049036052*B29)*0.0000000001-1.075*0.0000000001)^3))))</f>
        <v>4.3199349214246219</v>
      </c>
      <c r="C53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-1.075*0.0000000001)^2)-(1/3*((1.13420686227572+0.136783049036052*C29)*0.0000000001-1.075*0.0000000001)^3))))</f>
        <v>4.2386996903423686</v>
      </c>
      <c r="D53" s="43">
        <f t="shared" ref="D53:AE53" si="52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-1.075*0.0000000001)^2)-(1/3*((1.13420686227572+0.136783049036052*D29)*0.0000000001-1.075*0.0000000001)^3))))</f>
        <v>5.7154486430182718</v>
      </c>
      <c r="E53" s="43">
        <f t="shared" si="52"/>
        <v>12.291902828670278</v>
      </c>
      <c r="F53" s="43">
        <f t="shared" si="52"/>
        <v>3.5109020025342632</v>
      </c>
      <c r="G53" s="43">
        <f t="shared" si="52"/>
        <v>5.0575880987106885</v>
      </c>
      <c r="H53" s="43">
        <f t="shared" si="52"/>
        <v>2.281358287582651</v>
      </c>
      <c r="I53" s="43">
        <f t="shared" si="52"/>
        <v>4.0247889802603165</v>
      </c>
      <c r="J53" s="43">
        <f t="shared" si="52"/>
        <v>11.112471682246357</v>
      </c>
      <c r="K53" s="43">
        <f t="shared" si="52"/>
        <v>11.0269353327791</v>
      </c>
      <c r="L53" s="43">
        <f t="shared" si="52"/>
        <v>4.5630603881986014</v>
      </c>
      <c r="M53" s="43">
        <f t="shared" si="52"/>
        <v>4.7321874454536159</v>
      </c>
      <c r="N53" s="43">
        <f t="shared" si="52"/>
        <v>5.1280328516041269</v>
      </c>
      <c r="O53" s="43">
        <f t="shared" si="52"/>
        <v>4.4854432100297945</v>
      </c>
      <c r="P53" s="43">
        <f t="shared" si="52"/>
        <v>3.019127493822293</v>
      </c>
      <c r="Q53" s="43">
        <f t="shared" si="52"/>
        <v>1.7944475867102352</v>
      </c>
      <c r="R53" s="43">
        <f t="shared" si="52"/>
        <v>0.62510514155280894</v>
      </c>
      <c r="S53" s="43">
        <f t="shared" si="52"/>
        <v>2.1302220544568784</v>
      </c>
      <c r="T53" s="43">
        <f t="shared" si="52"/>
        <v>1.5789280871796518</v>
      </c>
      <c r="U53" s="43">
        <f t="shared" si="52"/>
        <v>0.75252186719741743</v>
      </c>
      <c r="V53" s="43">
        <f t="shared" si="52"/>
        <v>3.7333758382289841</v>
      </c>
      <c r="W53" s="43">
        <f t="shared" si="52"/>
        <v>1.5901506992529106</v>
      </c>
      <c r="X53" s="43">
        <f t="shared" si="52"/>
        <v>1.2143177823532525</v>
      </c>
      <c r="Y53" s="43">
        <f t="shared" si="52"/>
        <v>1.614976329622144</v>
      </c>
      <c r="Z53" s="43">
        <f t="shared" si="52"/>
        <v>1.4016593654362284</v>
      </c>
      <c r="AA53" s="43">
        <f t="shared" si="52"/>
        <v>2.0075755582755055</v>
      </c>
      <c r="AB53" s="43">
        <f t="shared" si="52"/>
        <v>17.3911749074562</v>
      </c>
      <c r="AC53" s="43">
        <f t="shared" si="52"/>
        <v>2.8247299212589208</v>
      </c>
      <c r="AD53" s="43">
        <f t="shared" si="52"/>
        <v>1.4129422635343436</v>
      </c>
      <c r="AE53" s="43">
        <f t="shared" si="52"/>
        <v>92.929974907309742</v>
      </c>
    </row>
    <row r="54" spans="1:31" x14ac:dyDescent="0.2">
      <c r="A54" s="41" t="s">
        <v>26</v>
      </c>
      <c r="B54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-1.072*0.0000000001)^2)-(1/3*((1.13420686227572+0.136783049036052*B29)*0.0000000001-1.072*0.0000000001)^3))))</f>
        <v>4.0836208417230573</v>
      </c>
      <c r="C54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-1.072*0.0000000001)^2)-(1/3*((1.13420686227572+0.136783049036052*C29)*0.0000000001-1.072*0.0000000001)^3))))</f>
        <v>4.017409881687902</v>
      </c>
      <c r="D54" s="43">
        <f t="shared" ref="D54:AE54" si="53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-1.072*0.0000000001)^2)-(1/3*((1.13420686227572+0.136783049036052*D29)*0.0000000001-1.072*0.0000000001)^3))))</f>
        <v>5.4483568662443247</v>
      </c>
      <c r="E54" s="43">
        <f t="shared" si="53"/>
        <v>11.837494664702009</v>
      </c>
      <c r="F54" s="43">
        <f t="shared" si="53"/>
        <v>3.3870174474002508</v>
      </c>
      <c r="G54" s="43">
        <f t="shared" si="53"/>
        <v>4.8732733910633792</v>
      </c>
      <c r="H54" s="43">
        <f t="shared" si="53"/>
        <v>2.2018621566030125</v>
      </c>
      <c r="I54" s="43">
        <f t="shared" si="53"/>
        <v>3.8846575591537431</v>
      </c>
      <c r="J54" s="43">
        <f t="shared" si="53"/>
        <v>10.636340067503964</v>
      </c>
      <c r="K54" s="43">
        <f t="shared" si="53"/>
        <v>10.571561375045983</v>
      </c>
      <c r="L54" s="43">
        <f t="shared" si="53"/>
        <v>4.3834341923461464</v>
      </c>
      <c r="M54" s="43">
        <f t="shared" si="53"/>
        <v>4.5369202271645186</v>
      </c>
      <c r="N54" s="43">
        <f t="shared" si="53"/>
        <v>4.9240141009192886</v>
      </c>
      <c r="O54" s="43">
        <f t="shared" si="53"/>
        <v>4.3440486385607144</v>
      </c>
      <c r="P54" s="43">
        <f t="shared" si="53"/>
        <v>2.9059984415955848</v>
      </c>
      <c r="Q54" s="43">
        <f t="shared" si="53"/>
        <v>1.7304931733861164</v>
      </c>
      <c r="R54" s="43">
        <f t="shared" si="53"/>
        <v>0.60028298505000677</v>
      </c>
      <c r="S54" s="43">
        <f t="shared" si="53"/>
        <v>2.0619631352276326</v>
      </c>
      <c r="T54" s="43">
        <f t="shared" si="53"/>
        <v>1.5250604159235124</v>
      </c>
      <c r="U54" s="43">
        <f t="shared" si="53"/>
        <v>0.72680117873200067</v>
      </c>
      <c r="V54" s="43">
        <f t="shared" si="53"/>
        <v>3.5926275988500396</v>
      </c>
      <c r="W54" s="43">
        <f t="shared" si="53"/>
        <v>1.5446900696868267</v>
      </c>
      <c r="X54" s="43">
        <f t="shared" si="53"/>
        <v>1.1737822115906733</v>
      </c>
      <c r="Y54" s="43">
        <f t="shared" si="53"/>
        <v>1.551266205437023</v>
      </c>
      <c r="Z54" s="43">
        <f t="shared" si="53"/>
        <v>1.3488956134695702</v>
      </c>
      <c r="AA54" s="43">
        <f t="shared" si="53"/>
        <v>1.9326041274199435</v>
      </c>
      <c r="AB54" s="43">
        <f t="shared" si="53"/>
        <v>16.472706492600704</v>
      </c>
      <c r="AC54" s="43">
        <f t="shared" si="53"/>
        <v>2.7319061365429849</v>
      </c>
      <c r="AD54" s="43">
        <f t="shared" si="53"/>
        <v>1.3605700598415982</v>
      </c>
      <c r="AE54" s="43">
        <f t="shared" si="53"/>
        <v>90.033879746901107</v>
      </c>
    </row>
    <row r="55" spans="1:31" x14ac:dyDescent="0.2">
      <c r="A55" s="41" t="s">
        <v>27</v>
      </c>
      <c r="B55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-1.062*0.0000000001)^2)-(1/3*((1.13420686227572+0.136783049036052*B29)*0.0000000001-1.062*0.0000000001)^3))))</f>
        <v>3.3432951293807118</v>
      </c>
      <c r="C55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-1.062*0.0000000001)^2)-(1/3*((1.13420686227572+0.136783049036052*C29)*0.0000000001-1.062*0.0000000001)^3))))</f>
        <v>3.3196848012958382</v>
      </c>
      <c r="D55" s="43">
        <f t="shared" ref="D55:AE55" si="54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-1.062*0.0000000001)^2)-(1/3*((1.13420686227572+0.136783049036052*D29)*0.0000000001-1.062*0.0000000001)^3))))</f>
        <v>4.5877098586543923</v>
      </c>
      <c r="E55" s="43">
        <f t="shared" si="54"/>
        <v>10.320500299547847</v>
      </c>
      <c r="F55" s="43">
        <f t="shared" si="54"/>
        <v>2.9720253682267903</v>
      </c>
      <c r="G55" s="43">
        <f t="shared" si="54"/>
        <v>4.2549534430305957</v>
      </c>
      <c r="H55" s="43">
        <f t="shared" si="54"/>
        <v>1.9336450248617991</v>
      </c>
      <c r="I55" s="43">
        <f t="shared" si="54"/>
        <v>3.412743481158115</v>
      </c>
      <c r="J55" s="43">
        <f t="shared" si="54"/>
        <v>9.0754726095731755</v>
      </c>
      <c r="K55" s="43">
        <f t="shared" si="54"/>
        <v>9.0692447919868115</v>
      </c>
      <c r="L55" s="43">
        <f t="shared" si="54"/>
        <v>3.7830907890055605</v>
      </c>
      <c r="M55" s="43">
        <f t="shared" si="54"/>
        <v>3.8872526207697375</v>
      </c>
      <c r="N55" s="43">
        <f t="shared" si="54"/>
        <v>4.2428289227810829</v>
      </c>
      <c r="O55" s="43">
        <f t="shared" si="54"/>
        <v>3.86257646090194</v>
      </c>
      <c r="P55" s="43">
        <f t="shared" si="54"/>
        <v>2.526671128009629</v>
      </c>
      <c r="Q55" s="43">
        <f t="shared" si="54"/>
        <v>1.5154939944056105</v>
      </c>
      <c r="R55" s="43">
        <f t="shared" si="54"/>
        <v>0.51817270774962709</v>
      </c>
      <c r="S55" s="43">
        <f t="shared" si="54"/>
        <v>1.8301307127700801</v>
      </c>
      <c r="T55" s="43">
        <f t="shared" si="54"/>
        <v>1.3429619747836998</v>
      </c>
      <c r="U55" s="43">
        <f t="shared" si="54"/>
        <v>0.64048449812314323</v>
      </c>
      <c r="V55" s="43">
        <f t="shared" si="54"/>
        <v>3.1207890895461659</v>
      </c>
      <c r="W55" s="43">
        <f t="shared" si="54"/>
        <v>1.3896241252621</v>
      </c>
      <c r="X55" s="43">
        <f t="shared" si="54"/>
        <v>1.0374106024964569</v>
      </c>
      <c r="Y55" s="43">
        <f t="shared" si="54"/>
        <v>1.3386552709227535</v>
      </c>
      <c r="Z55" s="43">
        <f t="shared" si="54"/>
        <v>1.1720335078811017</v>
      </c>
      <c r="AA55" s="43">
        <f t="shared" si="54"/>
        <v>1.6815605999091583</v>
      </c>
      <c r="AB55" s="43">
        <f t="shared" si="54"/>
        <v>13.534148325082604</v>
      </c>
      <c r="AC55" s="43">
        <f t="shared" si="54"/>
        <v>2.4190276318809696</v>
      </c>
      <c r="AD55" s="43">
        <f t="shared" si="54"/>
        <v>1.187342750844316</v>
      </c>
      <c r="AE55" s="43">
        <f t="shared" si="54"/>
        <v>80.16378526925142</v>
      </c>
    </row>
    <row r="56" spans="1:31" x14ac:dyDescent="0.2">
      <c r="A56" s="41" t="s">
        <v>28</v>
      </c>
      <c r="B56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-1.052*0.0000000001)^2)-(1/3*((1.13420686227572+0.136783049036052*B29)*0.0000000001-1.052*0.0000000001)^3))))</f>
        <v>2.6858339826909705</v>
      </c>
      <c r="C56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-1.052*0.0000000001)^2)-(1/3*((1.13420686227572+0.136783049036052*C29)*0.0000000001-1.052*0.0000000001)^3))))</f>
        <v>2.693588078886501</v>
      </c>
      <c r="D56" s="43">
        <f t="shared" ref="D56:AE56" si="55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-1.052*0.0000000001)^2)-(1/3*((1.13420686227572+0.136783049036052*D29)*0.0000000001-1.052*0.0000000001)^3))))</f>
        <v>3.7911167863900515</v>
      </c>
      <c r="E56" s="43">
        <f t="shared" si="55"/>
        <v>8.8414797057665755</v>
      </c>
      <c r="F56" s="43">
        <f t="shared" si="55"/>
        <v>2.5649317229219459</v>
      </c>
      <c r="G56" s="43">
        <f t="shared" si="55"/>
        <v>3.6485127184861019</v>
      </c>
      <c r="H56" s="43">
        <f t="shared" si="55"/>
        <v>1.6683388627158626</v>
      </c>
      <c r="I56" s="43">
        <f t="shared" si="55"/>
        <v>2.9468556480246635</v>
      </c>
      <c r="J56" s="43">
        <f t="shared" si="55"/>
        <v>7.5957792336625545</v>
      </c>
      <c r="K56" s="43">
        <f t="shared" si="55"/>
        <v>7.6321636453215032</v>
      </c>
      <c r="L56" s="43">
        <f t="shared" si="55"/>
        <v>3.1992537627016224</v>
      </c>
      <c r="M56" s="43">
        <f t="shared" si="55"/>
        <v>3.2603116190921853</v>
      </c>
      <c r="N56" s="43">
        <f t="shared" si="55"/>
        <v>3.5815030227644313</v>
      </c>
      <c r="O56" s="43">
        <f t="shared" si="55"/>
        <v>3.3792228905920068</v>
      </c>
      <c r="P56" s="43">
        <f t="shared" si="55"/>
        <v>2.1554140404435831</v>
      </c>
      <c r="Q56" s="43">
        <f t="shared" si="55"/>
        <v>1.3038978815282003</v>
      </c>
      <c r="R56" s="43">
        <f t="shared" si="55"/>
        <v>0.43921637503014671</v>
      </c>
      <c r="S56" s="43">
        <f t="shared" si="55"/>
        <v>1.5982157110950046</v>
      </c>
      <c r="T56" s="43">
        <f t="shared" si="55"/>
        <v>1.1622710860941008</v>
      </c>
      <c r="U56" s="43">
        <f t="shared" si="55"/>
        <v>0.55550872482665381</v>
      </c>
      <c r="V56" s="43">
        <f t="shared" si="55"/>
        <v>2.6592544764597745</v>
      </c>
      <c r="W56" s="43">
        <f t="shared" si="55"/>
        <v>1.2329998691966662</v>
      </c>
      <c r="X56" s="43">
        <f t="shared" si="55"/>
        <v>0.90264306029149588</v>
      </c>
      <c r="Y56" s="43">
        <f t="shared" si="55"/>
        <v>1.13223831582726</v>
      </c>
      <c r="Z56" s="43">
        <f t="shared" si="55"/>
        <v>0.99903965253182458</v>
      </c>
      <c r="AA56" s="43">
        <f t="shared" si="55"/>
        <v>1.4361567648641842</v>
      </c>
      <c r="AB56" s="43">
        <f t="shared" si="55"/>
        <v>10.859638478556318</v>
      </c>
      <c r="AC56" s="43">
        <f t="shared" si="55"/>
        <v>2.1089583248288717</v>
      </c>
      <c r="AD56" s="43">
        <f t="shared" si="55"/>
        <v>1.0201546623856241</v>
      </c>
      <c r="AE56" s="43">
        <f t="shared" si="55"/>
        <v>70.240764425198549</v>
      </c>
    </row>
    <row r="57" spans="1:31" x14ac:dyDescent="0.2">
      <c r="A57" s="41" t="s">
        <v>29</v>
      </c>
      <c r="B57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-1.042*0.0000000001)^2)-(1/3*((1.13420686227572+0.136783049036052*B29)*0.0000000001-1.042*0.0000000001)^3))))</f>
        <v>2.1180187035986053</v>
      </c>
      <c r="C57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-1.042*0.0000000001)^2)-(1/3*((1.13420686227572+0.136783049036052*C29)*0.0000000001-1.042*0.0000000001)^3))))</f>
        <v>2.1469089168292066</v>
      </c>
      <c r="D57" s="43">
        <f t="shared" ref="D57:AE57" si="56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-1.042*0.0000000001)^2)-(1/3*((1.13420686227572+0.136783049036052*D29)*0.0000000001-1.042*0.0000000001)^3))))</f>
        <v>3.0757202371960637</v>
      </c>
      <c r="E57" s="43">
        <f t="shared" si="56"/>
        <v>7.4453838046865135</v>
      </c>
      <c r="F57" s="43">
        <f t="shared" si="56"/>
        <v>2.177879511252232</v>
      </c>
      <c r="G57" s="43">
        <f t="shared" si="56"/>
        <v>3.0735690401887936</v>
      </c>
      <c r="H57" s="43">
        <f t="shared" si="56"/>
        <v>1.4147118188605292</v>
      </c>
      <c r="I57" s="43">
        <f t="shared" si="56"/>
        <v>2.5019014352480378</v>
      </c>
      <c r="J57" s="43">
        <f t="shared" si="56"/>
        <v>6.2383844530275283</v>
      </c>
      <c r="K57" s="43">
        <f t="shared" si="56"/>
        <v>6.3028748969031865</v>
      </c>
      <c r="L57" s="43">
        <f t="shared" si="56"/>
        <v>2.6521537399766957</v>
      </c>
      <c r="M57" s="43">
        <f t="shared" si="56"/>
        <v>2.6779187716679025</v>
      </c>
      <c r="N57" s="43">
        <f t="shared" si="56"/>
        <v>2.9629823301119438</v>
      </c>
      <c r="O57" s="43">
        <f t="shared" si="56"/>
        <v>2.9097537169131567</v>
      </c>
      <c r="P57" s="43">
        <f t="shared" si="56"/>
        <v>1.8047149926966373</v>
      </c>
      <c r="Q57" s="43">
        <f t="shared" si="56"/>
        <v>1.1025385641896173</v>
      </c>
      <c r="R57" s="43">
        <f t="shared" si="56"/>
        <v>0.36570347107065654</v>
      </c>
      <c r="S57" s="43">
        <f t="shared" si="56"/>
        <v>1.3736728015716559</v>
      </c>
      <c r="T57" s="43">
        <f t="shared" si="56"/>
        <v>0.98894133857617972</v>
      </c>
      <c r="U57" s="43">
        <f t="shared" si="56"/>
        <v>0.47435437106621631</v>
      </c>
      <c r="V57" s="43">
        <f t="shared" si="56"/>
        <v>2.223656029536432</v>
      </c>
      <c r="W57" s="43">
        <f t="shared" si="56"/>
        <v>1.0793440556411409</v>
      </c>
      <c r="X57" s="43">
        <f t="shared" si="56"/>
        <v>0.7734313229552231</v>
      </c>
      <c r="Y57" s="43">
        <f t="shared" si="56"/>
        <v>0.93900918434478275</v>
      </c>
      <c r="Z57" s="43">
        <f t="shared" si="56"/>
        <v>0.83574669700599735</v>
      </c>
      <c r="AA57" s="43">
        <f t="shared" si="56"/>
        <v>1.2044103728461359</v>
      </c>
      <c r="AB57" s="43">
        <f t="shared" si="56"/>
        <v>8.5138882213878322</v>
      </c>
      <c r="AC57" s="43">
        <f t="shared" si="56"/>
        <v>1.8108577154058303</v>
      </c>
      <c r="AD57" s="43">
        <f t="shared" si="56"/>
        <v>0.86323521624267607</v>
      </c>
      <c r="AE57" s="43">
        <f t="shared" si="56"/>
        <v>60.587030244329448</v>
      </c>
    </row>
    <row r="58" spans="1:31" x14ac:dyDescent="0.2">
      <c r="A58" s="41" t="s">
        <v>30</v>
      </c>
      <c r="B58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-1.032*0.0000000001)^2)-(1/3*((1.13420686227572+0.136783049036052*B29)*0.0000000001-1.032*0.0000000001)^3))))</f>
        <v>1.6402030975019142</v>
      </c>
      <c r="C58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-1.032*0.0000000001)^2)-(1/3*((1.13420686227572+0.136783049036052*C29)*0.0000000001-1.032*0.0000000001)^3))))</f>
        <v>1.6815455968366055</v>
      </c>
      <c r="D58" s="43">
        <f t="shared" ref="D58:AE58" si="57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-1.032*0.0000000001)^2)-(1/3*((1.13420686227572+0.136783049036052*D29)*0.0000000001-1.032*0.0000000001)^3))))</f>
        <v>2.4507700887945658</v>
      </c>
      <c r="E58" s="43">
        <f t="shared" si="57"/>
        <v>6.1651243608452564</v>
      </c>
      <c r="F58" s="43">
        <f t="shared" si="57"/>
        <v>1.8200074175021264</v>
      </c>
      <c r="G58" s="43">
        <f t="shared" si="57"/>
        <v>2.5446917305012131</v>
      </c>
      <c r="H58" s="43">
        <f t="shared" si="57"/>
        <v>1.1794599568765383</v>
      </c>
      <c r="I58" s="43">
        <f t="shared" si="57"/>
        <v>2.0892453908371831</v>
      </c>
      <c r="J58" s="43">
        <f t="shared" si="57"/>
        <v>5.0296680910176566</v>
      </c>
      <c r="K58" s="43">
        <f t="shared" si="57"/>
        <v>5.109919607142519</v>
      </c>
      <c r="L58" s="43">
        <f t="shared" si="57"/>
        <v>2.1561313325703524</v>
      </c>
      <c r="M58" s="43">
        <f t="shared" si="57"/>
        <v>2.1549879447392528</v>
      </c>
      <c r="N58" s="43">
        <f t="shared" si="57"/>
        <v>2.4034058221518895</v>
      </c>
      <c r="O58" s="43">
        <f t="shared" si="57"/>
        <v>2.4668206478027517</v>
      </c>
      <c r="P58" s="43">
        <f t="shared" si="57"/>
        <v>1.4837124937166424</v>
      </c>
      <c r="Q58" s="43">
        <f t="shared" si="57"/>
        <v>0.91655950604378356</v>
      </c>
      <c r="R58" s="43">
        <f t="shared" si="57"/>
        <v>0.29921771095525806</v>
      </c>
      <c r="S58" s="43">
        <f t="shared" si="57"/>
        <v>1.1624341614028533</v>
      </c>
      <c r="T58" s="43">
        <f t="shared" si="57"/>
        <v>0.82757113833203844</v>
      </c>
      <c r="U58" s="43">
        <f t="shared" si="57"/>
        <v>0.39891942975534445</v>
      </c>
      <c r="V58" s="43">
        <f t="shared" si="57"/>
        <v>1.8253935597420217</v>
      </c>
      <c r="W58" s="43">
        <f t="shared" si="57"/>
        <v>0.93241544669994247</v>
      </c>
      <c r="X58" s="43">
        <f t="shared" si="57"/>
        <v>0.65283878197488854</v>
      </c>
      <c r="Y58" s="43">
        <f t="shared" si="57"/>
        <v>0.76390781380999095</v>
      </c>
      <c r="Z58" s="43">
        <f t="shared" si="57"/>
        <v>0.68641077086958602</v>
      </c>
      <c r="AA58" s="43">
        <f t="shared" si="57"/>
        <v>0.99218817862504116</v>
      </c>
      <c r="AB58" s="43">
        <f t="shared" si="57"/>
        <v>6.524967258960376</v>
      </c>
      <c r="AC58" s="43">
        <f t="shared" si="57"/>
        <v>1.5318874849331183</v>
      </c>
      <c r="AD58" s="43">
        <f t="shared" si="57"/>
        <v>0.71962127660675201</v>
      </c>
      <c r="AE58" s="43">
        <f t="shared" si="57"/>
        <v>51.462417642744285</v>
      </c>
    </row>
    <row r="59" spans="1:31" x14ac:dyDescent="0.2"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 spans="1:31" x14ac:dyDescent="0.2">
      <c r="A60" s="52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 spans="1:31" x14ac:dyDescent="0.2"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 spans="1:31" x14ac:dyDescent="0.2"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spans="1:31" x14ac:dyDescent="0.2">
      <c r="A63" s="47" t="s">
        <v>104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 spans="1:31" x14ac:dyDescent="0.2">
      <c r="A64" s="46" t="s">
        <v>101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 spans="1:28" x14ac:dyDescent="0.2">
      <c r="A65" s="46" t="s">
        <v>102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 spans="1:28" x14ac:dyDescent="0.2">
      <c r="A66" s="46" t="s">
        <v>116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 spans="1:28" x14ac:dyDescent="0.2">
      <c r="A67" s="46" t="s">
        <v>103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 spans="1:28" x14ac:dyDescent="0.2">
      <c r="A68" s="46" t="s">
        <v>119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 spans="1:28" x14ac:dyDescent="0.2"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 spans="1:28" x14ac:dyDescent="0.2"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 spans="1:28" x14ac:dyDescent="0.2"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 spans="1:28" x14ac:dyDescent="0.2">
      <c r="B72" s="34"/>
    </row>
    <row r="73" spans="1:28" x14ac:dyDescent="0.2">
      <c r="B73" s="34"/>
    </row>
    <row r="74" spans="1:28" x14ac:dyDescent="0.2">
      <c r="B74" s="34"/>
    </row>
    <row r="75" spans="1:28" x14ac:dyDescent="0.2">
      <c r="B75" s="34"/>
    </row>
    <row r="76" spans="1:28" x14ac:dyDescent="0.2">
      <c r="B76" s="34"/>
    </row>
    <row r="77" spans="1:28" x14ac:dyDescent="0.2">
      <c r="B77" s="34"/>
    </row>
    <row r="78" spans="1:28" x14ac:dyDescent="0.2">
      <c r="B78" s="34"/>
    </row>
    <row r="79" spans="1:28" x14ac:dyDescent="0.2">
      <c r="B79" s="34"/>
    </row>
    <row r="80" spans="1:28" x14ac:dyDescent="0.2">
      <c r="B80" s="34"/>
    </row>
    <row r="81" spans="2:2" x14ac:dyDescent="0.2">
      <c r="B81" s="34"/>
    </row>
    <row r="82" spans="2:2" x14ac:dyDescent="0.2">
      <c r="B82" s="34"/>
    </row>
    <row r="83" spans="2:2" x14ac:dyDescent="0.2">
      <c r="B83" s="34"/>
    </row>
    <row r="84" spans="2:2" x14ac:dyDescent="0.2">
      <c r="B84" s="34"/>
    </row>
    <row r="85" spans="2:2" x14ac:dyDescent="0.2">
      <c r="B85" s="34"/>
    </row>
    <row r="86" spans="2:2" x14ac:dyDescent="0.2">
      <c r="B86" s="34"/>
    </row>
    <row r="87" spans="2:2" x14ac:dyDescent="0.2">
      <c r="B87" s="34"/>
    </row>
    <row r="88" spans="2:2" x14ac:dyDescent="0.2">
      <c r="B88" s="34"/>
    </row>
    <row r="89" spans="2:2" x14ac:dyDescent="0.2">
      <c r="B89" s="34"/>
    </row>
    <row r="90" spans="2:2" x14ac:dyDescent="0.2">
      <c r="B90" s="34"/>
    </row>
    <row r="91" spans="2:2" x14ac:dyDescent="0.2">
      <c r="B91" s="34"/>
    </row>
    <row r="92" spans="2:2" x14ac:dyDescent="0.2">
      <c r="B92" s="34"/>
    </row>
    <row r="93" spans="2:2" x14ac:dyDescent="0.2">
      <c r="B93" s="34"/>
    </row>
    <row r="94" spans="2:2" x14ac:dyDescent="0.2">
      <c r="B94" s="34"/>
    </row>
    <row r="95" spans="2:2" x14ac:dyDescent="0.2">
      <c r="B95" s="34"/>
    </row>
    <row r="96" spans="2:2" x14ac:dyDescent="0.2">
      <c r="B96" s="34"/>
    </row>
    <row r="97" spans="2:2" x14ac:dyDescent="0.2">
      <c r="B97" s="34"/>
    </row>
  </sheetData>
  <mergeCells count="4">
    <mergeCell ref="B2:K2"/>
    <mergeCell ref="L2:O2"/>
    <mergeCell ref="P2:X2"/>
    <mergeCell ref="AC2:AD2"/>
  </mergeCells>
  <conditionalFormatting sqref="A4:A14 A16:A18">
    <cfRule type="cellIs" dxfId="3" priority="4" stopIfTrue="1" operator="lessThan">
      <formula>0</formula>
    </cfRule>
  </conditionalFormatting>
  <conditionalFormatting sqref="A22:A32 A34:A35">
    <cfRule type="cellIs" dxfId="2" priority="1" stopIfTrue="1" operator="lessThan">
      <formula>0</formula>
    </cfRule>
  </conditionalFormatting>
  <conditionalFormatting sqref="B22:AE35">
    <cfRule type="cellIs" dxfId="1" priority="2" stopIfTrue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Apatite_Kd_Calculator</vt:lpstr>
      <vt:lpstr>Multiple_Kd_Calculator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Dian Ji</cp:lastModifiedBy>
  <dcterms:created xsi:type="dcterms:W3CDTF">2023-04-18T13:53:24Z</dcterms:created>
  <dcterms:modified xsi:type="dcterms:W3CDTF">2025-07-16T02:25:01Z</dcterms:modified>
</cp:coreProperties>
</file>