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E:\UFO test project\"/>
    </mc:Choice>
  </mc:AlternateContent>
  <xr:revisionPtr revIDLastSave="0" documentId="8_{0A211C23-48BB-4394-B548-94012BC96371}" xr6:coauthVersionLast="47" xr6:coauthVersionMax="47" xr10:uidLastSave="{00000000-0000-0000-0000-000000000000}"/>
  <bookViews>
    <workbookView xWindow="-120" yWindow="-120" windowWidth="29040" windowHeight="15720" tabRatio="696" activeTab="13" xr2:uid="{00000000-000D-0000-FFFF-FFFF00000000}"/>
  </bookViews>
  <sheets>
    <sheet name="Навыки" sheetId="14" r:id="rId1"/>
    <sheet name="Таблицы имплантов" sheetId="29" state="hidden" r:id="rId2"/>
    <sheet name="Примерочная" sheetId="4" r:id="rId3"/>
    <sheet name="Таблицы оружие" sheetId="22" state="hidden" r:id="rId4"/>
    <sheet name="Ачивки" sheetId="23" r:id="rId5"/>
    <sheet name="Таблицы ачивок" sheetId="24" state="hidden" r:id="rId6"/>
    <sheet name="Стимуляторы" sheetId="19" state="hidden" r:id="rId7"/>
    <sheet name="Лист1" sheetId="26" state="hidden" r:id="rId8"/>
    <sheet name="Таблицы броня" sheetId="17" state="hidden" r:id="rId9"/>
    <sheet name="Таблицы навыков" sheetId="13" state="hidden" r:id="rId10"/>
    <sheet name="моды" sheetId="20" state="hidden" r:id="rId11"/>
    <sheet name="Формулы" sheetId="15" state="hidden" r:id="rId12"/>
    <sheet name="Лист2" sheetId="30" state="hidden" r:id="rId13"/>
    <sheet name="Импланты" sheetId="28" r:id="rId14"/>
    <sheet name="Таблицы стимуляторов" sheetId="25" state="hidden" r:id="rId15"/>
  </sheets>
  <definedNames>
    <definedName name="_xlnm._FilterDatabase" localSheetId="6" hidden="1">Стимуляторы!$A$3:$N$4</definedName>
    <definedName name="HF_патроны">Формулы!$X$3</definedName>
    <definedName name="Ачивка_защита">Формулы!$R$97</definedName>
    <definedName name="Ачивка_интоксикация">Формулы!$F$98</definedName>
    <definedName name="Ачивка_крит._попадание">Формулы!$O$97</definedName>
    <definedName name="Ачивка_радиус_взрыва">Формулы!$O$98</definedName>
    <definedName name="Ачивка_скорость_по_карте">Формулы!$C$98</definedName>
    <definedName name="Ачивка_снижение_урона">Формулы!$C$97</definedName>
    <definedName name="Ачивка_сопротивление_эфф.">Формулы!$R$98</definedName>
    <definedName name="Ачивка_урон_гранат">Формулы!$L$98</definedName>
    <definedName name="Ачивка_урон_мин">Формулы!$I$98</definedName>
    <definedName name="Ачивка_урон_при_атаке_монстров">Формулы!$I$97</definedName>
    <definedName name="Ачивка_эфф._аптечек">Формулы!$U$97</definedName>
    <definedName name="Ачивка_эфф._стимуляторов">Формулы!$U$98</definedName>
    <definedName name="Ачивки_здоровье">Формулы!$F$97</definedName>
    <definedName name="Ачивки_урон">Формулы!$L$97</definedName>
    <definedName name="Бонус_модификаций_защита">Примерочная!$B$30</definedName>
    <definedName name="Бонус_модификаций_контузия">Примерочная!$C$30</definedName>
    <definedName name="Бонус_модификаций_крит._защита">Примерочная!$G$30</definedName>
    <definedName name="Бонус_модификаций_крит._уклонение">Примерочная!$F$30</definedName>
    <definedName name="Бонус_модификаций_маскировка">Примерочная!$A$30</definedName>
    <definedName name="Бонус_модификаций_отравление">Примерочная!$D$30</definedName>
    <definedName name="Бонус_модификаций_снижение_урона">Примерочная!$I$30</definedName>
    <definedName name="Бонус_модификаций_шок">Примерочная!$E$30</definedName>
    <definedName name="Бонусы_сетов_ТБ_дальность_СВ">Формулы!$C$67</definedName>
    <definedName name="Бонусы_сетов_ТБ_ОД">Формулы!$C$61</definedName>
    <definedName name="Бонусы_сетов_ТБ_ОД_на_выстрел_СВ">Формулы!$C$63</definedName>
    <definedName name="Бонусы_сетов_ТБ_ОД_на_установку_мин">Формулы!$C$65</definedName>
    <definedName name="Бонусы_сетов_ТБ_ОД_на_экипировку_СВ">Формулы!$C$64</definedName>
    <definedName name="Бонусы_сетов_ТБ_урон_мин">Формулы!$C$66</definedName>
    <definedName name="Бонусы_сетов_ТБ_урон_П_ПП">Формулы!$C$62</definedName>
    <definedName name="Бонусы_сетов_ТБ_урон_СВ">Формулы!$C$60</definedName>
    <definedName name="Бонусы_сетов_УБ_АД_на_экипировку_щитов">Формулы!$I$65</definedName>
    <definedName name="Бонусы_сетов_УБ_время_прицеливания_СВ">Формулы!$I$61</definedName>
    <definedName name="Бонусы_сетов_УБ_мобильность_щитов">Формулы!$I$64</definedName>
    <definedName name="Бонусы_сетов_УБ_снижение_урона">Формулы!$I$63</definedName>
    <definedName name="Бонусы_сетов_УБ_точность_СВ">Формулы!$I$60</definedName>
    <definedName name="Бонусы_сетов_УБ_урон_дробовиков">Формулы!$I$62</definedName>
    <definedName name="Бонусы_сетов_ШБ_дальность_броска_гранат">Формулы!$F$63</definedName>
    <definedName name="Бонусы_сетов_ШБ_ОД_на_выстрел_пулиметов">Формулы!$F$62</definedName>
    <definedName name="Бонусы_сетов_ШБ_урон_гранат">Формулы!$F$64</definedName>
    <definedName name="Бонусы_сетов_ШБ_урон_пулиметов">Формулы!$F$61</definedName>
    <definedName name="Бонусы_сетов_ШБ_урон_ШВ">Формулы!$F$60</definedName>
    <definedName name="Бонусы_уникальных_предметов_феникс_дальность_дробовиков">Формулы!$C$48</definedName>
    <definedName name="Бонусы_уникальных_предметов_феникс_дальность_пулиметов">Формулы!$C$50</definedName>
    <definedName name="Бонусы_уникальных_предметов_феникс_дальность_СВ">Формулы!$C$51</definedName>
    <definedName name="Бонусы_уникальных_предметов_феникс_дальность_ШВ">Формулы!$C$49</definedName>
    <definedName name="Бонусы_уникальных_предметов_феникс_защита_ТБ">Формулы!$C$57</definedName>
    <definedName name="Бонусы_уникальных_предметов_феникс_защита_УБ">Формулы!$C$56</definedName>
    <definedName name="Бонусы_уникальных_предметов_феникс_защита_ШБ">Формулы!$C$55</definedName>
    <definedName name="Бонусы_уникальных_предметов_феникс_здоровье">Формулы!$C$52</definedName>
    <definedName name="Бонусы_уникальных_предметов_феникс_ОД">Формулы!$C$45</definedName>
    <definedName name="Бонусы_уникальных_предметов_феникс_побег_из_боя">Формулы!$C$47</definedName>
    <definedName name="Бонусы_уникальных_предметов_феникс_скорость_по_карте">Формулы!$C$54</definedName>
    <definedName name="Бонусы_уникальных_предметов_феникс_урон">Формулы!$C$46</definedName>
    <definedName name="Бонусы_уникальных_предметов_феникс_эфф._аптечек">Формулы!$C$53</definedName>
    <definedName name="Гемобуфер_альфа_здоровье">Формулы!$C$76</definedName>
    <definedName name="Гемобуфер_альфа_М_здоровье">Формулы!$I$76</definedName>
    <definedName name="Гемобуфер_альфа_М_сопротивление_эффектам">Формулы!$I$77</definedName>
    <definedName name="Гемобуфер_альфа_сопротивление_эффектам">Формулы!$C$77</definedName>
    <definedName name="Гемобуфер_бета_здоровье">Формулы!$F$76</definedName>
    <definedName name="Гемобуфер_бета_М_здоровье">Формулы!$L$76</definedName>
    <definedName name="Гемобуфер_бета_М_сопротивление_эффектам">Формулы!$L$77</definedName>
    <definedName name="Гемобуфер_бета_сопротивление_эффектам">Формулы!$F$77</definedName>
    <definedName name="Гемобуфер_здоровье">Формулы!$O$76</definedName>
    <definedName name="Гемобуфер_сопротивление_эффектам">Формулы!$O$77</definedName>
    <definedName name="гемобуферальфа">Формулы!$C$77</definedName>
    <definedName name="гемобуферальфаМ">Формулы!$G$77</definedName>
    <definedName name="гемобуфербетта">Формулы!$D$77</definedName>
    <definedName name="гемобуфербеттаМ">Формулы!$J$77</definedName>
    <definedName name="Иконки_брюки">INDEX('Таблицы броня'!$B$65:$B$93,MATCH(Примерочная!$A$2,'Таблицы броня'!$A$65:$A$93,0))</definedName>
    <definedName name="Иконки_гранаты">INDEX('Таблицы оружие'!$B$128:$B$139,MATCH(Примерочная!$V$15,'Таблицы оружие'!$A$128:$A$139,0))</definedName>
    <definedName name="Иконки_куртки">INDEX('Таблицы броня'!$B$34:$B$62,MATCH(Примерочная!$A$2,'Таблицы броня'!$A$34:$A$62,0))</definedName>
    <definedName name="Иконки_мины">INDEX('Таблицы оружие'!$B$142:$B$1153,MATCH(Примерочная!$V$20,'Таблицы оружие'!$A$142:$A$153,0))</definedName>
    <definedName name="Иконки_оружие">INDEX('Таблицы оружие'!$B$2:$B$125,MATCH(Примерочная!$V$2,'Таблицы оружие'!$A$2:$A$125,0))</definedName>
    <definedName name="Иконки_стимуляторы_1">INDEX('Таблицы стимуляторов'!$B$15:$B$43,MATCH(Стимуляторы!$E$3,'Таблицы стимуляторов'!$A$15:$A$43,0))</definedName>
    <definedName name="Иконки_стимуляторы_10">INDEX('Таблицы стимуляторов'!$B$15:$B$43,MATCH(Стимуляторы!$N$3,'Таблицы стимуляторов'!$A$15:$A$43,0))</definedName>
    <definedName name="Иконки_стимуляторы_2">INDEX('Таблицы стимуляторов'!$B$15:$B$43,MATCH(Стимуляторы!$F$3,'Таблицы стимуляторов'!$A$15:$A$43,0))</definedName>
    <definedName name="Иконки_стимуляторы_3">INDEX('Таблицы стимуляторов'!$B$15:$B$43,MATCH(Стимуляторы!$G$3,'Таблицы стимуляторов'!$A$15:$A$43,0))</definedName>
    <definedName name="Иконки_стимуляторы_4">INDEX('Таблицы стимуляторов'!$B$15:$B$43,MATCH(Стимуляторы!$H$3,'Таблицы стимуляторов'!$A$15:$A$43,0))</definedName>
    <definedName name="Иконки_стимуляторы_5">INDEX('Таблицы стимуляторов'!$B$15:$B$43,MATCH(Стимуляторы!$I$3,'Таблицы стимуляторов'!$A$15:$A$43,0))</definedName>
    <definedName name="Иконки_стимуляторы_6">INDEX('Таблицы стимуляторов'!$B$15:$B$43,MATCH(Стимуляторы!$J$3,'Таблицы стимуляторов'!$A$15:$A$43,0))</definedName>
    <definedName name="Иконки_стимуляторы_7">INDEX('Таблицы стимуляторов'!$B$15:$B$43,MATCH(Стимуляторы!$K$3,'Таблицы стимуляторов'!$A$15:$A$43,0))</definedName>
    <definedName name="Иконки_стимуляторы_8">INDEX('Таблицы стимуляторов'!$B$15:$B$43,MATCH(Стимуляторы!$L$3,'Таблицы стимуляторов'!$A$15:$A$43,0))</definedName>
    <definedName name="Иконки_стимуляторы_9">INDEX('Таблицы стимуляторов'!$B$15:$B$43,MATCH(Стимуляторы!$M$3,'Таблицы стимуляторов'!$A$15:$A$43,0))</definedName>
    <definedName name="Иконки_стимуляторы_специальные_1">INDEX('Таблицы стимуляторов'!$B$2:$B$6,MATCH(Стимуляторы!$A$3,'Таблицы стимуляторов'!$A$2:$A$6,0))</definedName>
    <definedName name="Иконки_стимуляторы_специальные_2">INDEX('Таблицы стимуляторов'!$B$9:$B$12,MATCH(Стимуляторы!$B$3,'Таблицы стимуляторов'!$A$9:$A$12,0))</definedName>
    <definedName name="Иконки_стимуляторы_специальные_3">INDEX('Таблицы стимуляторов'!$B$9:$B$12,MATCH(Стимуляторы!$C$3,'Таблицы стимуляторов'!$A$9:$A$12,0))</definedName>
    <definedName name="Иконки_шлемы">INDEX('Таблицы броня'!$B$2:$B$31,MATCH(Примерочная!$A$2,'Таблицы броня'!$A$2:$A$31,0))</definedName>
    <definedName name="Иконки_щиты">INDEX('Таблицы броня'!$B$96:$B$104,MATCH(Примерочная!$A$17,'Таблицы броня'!$A$96:$A$104,0))</definedName>
    <definedName name="Имплант_восприятие">Формулы!$O$92</definedName>
    <definedName name="Имплант_грузоподъемность">Формулы!$L$91</definedName>
    <definedName name="Имплант_дальность">Формулы!$C$94</definedName>
    <definedName name="Имплант_защита">Формулы!$F$90</definedName>
    <definedName name="Имплант_здоровье">Формулы!$I$91</definedName>
    <definedName name="Имплант_интелект">Формулы!$O$93</definedName>
    <definedName name="Имплант_интоксикация">Формулы!$I$93</definedName>
    <definedName name="Имплант_крит.защита">Формулы!$F$91</definedName>
    <definedName name="Имплант_крит.попадание">Формулы!$C$93</definedName>
    <definedName name="Имплант_крит.уклонение">Формулы!$F$92</definedName>
    <definedName name="Имплант_крит.урон">Формулы!$C$92</definedName>
    <definedName name="Имплант_ловкость">Формулы!$O$91</definedName>
    <definedName name="Имплант_маскировка">Формулы!$F$93</definedName>
    <definedName name="Имплант_ОД">Формулы!$I$90</definedName>
    <definedName name="Имплант_сила">Формулы!$O$90</definedName>
    <definedName name="Имплант_сила_воли">Формулы!$O$95</definedName>
    <definedName name="Имплант_скорость_по_карте">Формулы!$L$90</definedName>
    <definedName name="Имплант_снижение_урона">Формулы!$F$94</definedName>
    <definedName name="Имплант_сопротивление_эфф.">Формулы!$F$95</definedName>
    <definedName name="Имплант_телосложение">Формулы!$O$94</definedName>
    <definedName name="Имплант_точность">Формулы!$C$90</definedName>
    <definedName name="Имплант_урон">Формулы!$C$91</definedName>
    <definedName name="Имплант_эфф.аптечек">Формулы!$I$92</definedName>
    <definedName name="Имплант_эфф.боеприпасов">Формулы!$C$95</definedName>
    <definedName name="Имплант_эфф.стимуляторов">Формулы!$I$94</definedName>
    <definedName name="Интелект1" comment="Влияния тренинга интелект на крит урон">Навыки!XEU1048568*0.007</definedName>
    <definedName name="Моториум_Альфа_М_ОД">Формулы!$I$79</definedName>
    <definedName name="Моториум_альфа_ОД">Формулы!$C$79</definedName>
    <definedName name="Моториум_бета_М_ОД">Формулы!$L$79</definedName>
    <definedName name="Моториум_бета_ОД">Формулы!$F$79</definedName>
    <definedName name="Моториум_ОД">Формулы!$O$79</definedName>
    <definedName name="Навык_гранаты_дальность_броска">Формулы!$C$41</definedName>
    <definedName name="Навык_гранаты_радиус_взрыва">Формулы!$C$42</definedName>
    <definedName name="Навык_гранаты_урон">Формулы!$C$40</definedName>
    <definedName name="Навык_допинг_длительность_дейтсвия">Формулы!$I$10</definedName>
    <definedName name="Навык_допинг_итоксикация">Формулы!$I$7</definedName>
    <definedName name="Навык_допинг_ОД_исп._стим.">Формулы!$I$9</definedName>
    <definedName name="Навык_допинг_эфф._стим.">Формулы!$I$8</definedName>
    <definedName name="Навык_ДРОБ._дальность">Формулы!$C$31</definedName>
    <definedName name="Навык_ДРОБ._точность">Формулы!$C$32</definedName>
    <definedName name="Навык_ДРОБ._урон">Формулы!$C$30</definedName>
    <definedName name="Навык_защита">Формулы!$F$9</definedName>
    <definedName name="Навык_защитник_защита">Формулы!$U$13</definedName>
    <definedName name="Навык_защитник_крит._защита">Формулы!$U$10</definedName>
    <definedName name="Навык_защитник_крит._уклонение">Формулы!$U$11</definedName>
    <definedName name="Навык_защитник_маскировка">Формулы!$U$12</definedName>
    <definedName name="Навык_защитник_сопр._эфф.">Формулы!$U$9</definedName>
    <definedName name="Навык_интендант">Формулы!$R$9</definedName>
    <definedName name="Навык_использование_брони_защита">Формулы!$F$3</definedName>
    <definedName name="Навык_использование_брони_крит._защита">Формулы!$F$7</definedName>
    <definedName name="Навык_использование_брони_крит._уклонение">Формулы!$F$6</definedName>
    <definedName name="Навык_использование_брони_маскировка">Формулы!$F$5</definedName>
    <definedName name="Навык_использование_брони_сопр._эфф.">Формулы!$F$4</definedName>
    <definedName name="Навык_калибровка_радиус">Формулы!$L$8</definedName>
    <definedName name="Навык_калибровка_чувствителность">Формулы!$L$7</definedName>
    <definedName name="Навык_крепкое_здоровье_здоровье">Формулы!$I$12</definedName>
    <definedName name="Навык_крит._защита">Формулы!$F$11</definedName>
    <definedName name="Навык_крит._попадание">Формулы!$C$16</definedName>
    <definedName name="Навык_крит._уклонение">Формулы!$F$15</definedName>
    <definedName name="Навык_крит._урон">Формулы!$C$12</definedName>
    <definedName name="Навык_ксенофиз._крит._поп.">Формулы!$L$10</definedName>
    <definedName name="Навык_ксенофиз._крит._урон">Формулы!$L$11</definedName>
    <definedName name="Навык_ксенофиз._урон">Формулы!$L$12</definedName>
    <definedName name="Навык_маскировка">Формулы!$F$13</definedName>
    <definedName name="Навык_метаболизм_регенерация">Формулы!$I$14</definedName>
    <definedName name="Навык_мины_ОД_на_установку">Формулы!$C$37</definedName>
    <definedName name="Навык_мины_радиус_взрыва">Формулы!$C$38</definedName>
    <definedName name="Навык_мины_урон">Формулы!$C$36</definedName>
    <definedName name="Навык_оружие_дальность">Формулы!$C$8</definedName>
    <definedName name="Навык_оружие_крит._попадание">Формулы!$C$6</definedName>
    <definedName name="Навык_оружие_крит._урон">Формулы!$C$3</definedName>
    <definedName name="Навык_оружие_мобильность">Формулы!$C$7</definedName>
    <definedName name="Навык_оружие_точность">Формулы!$C$5</definedName>
    <definedName name="Навык_оружие_урон">Формулы!$C$4</definedName>
    <definedName name="Навык_охотник_крит._попадние_по_монстрам">Формулы!$U$17</definedName>
    <definedName name="Навык_охотник_крит._урон_по_монстрам">Формулы!$U$18</definedName>
    <definedName name="Навык_охотник_скорость_по_карте">Формулы!$U$15</definedName>
    <definedName name="Навык_охотник_урон_по_монстрам">Формулы!$U$19</definedName>
    <definedName name="Навык_охотник_эфф._аптечек">Формулы!$U$16</definedName>
    <definedName name="Навык_первая_помощь_эфф._апт.">Формулы!$I$5</definedName>
    <definedName name="Навык_потоковая_компрессия_скорость_сканирования">Формулы!$L$5</definedName>
    <definedName name="Навык_ПУЛ._крит._урон">Формулы!$C$27</definedName>
    <definedName name="Навык_ПУЛ._точность">Формулы!$C$28</definedName>
    <definedName name="Навык_ПУЛ._урон">Формулы!$C$26</definedName>
    <definedName name="Навык_СВ_крит._поп.">Формулы!$C$20</definedName>
    <definedName name="Навык_СВ_крит._урон">Формулы!$C$19</definedName>
    <definedName name="Навык_СВ_урон">Формулы!$C$18</definedName>
    <definedName name="Навык_скаут_скорость_по_карте">Формулы!$L$3</definedName>
    <definedName name="Навык_скиталец_найти_лут">Формулы!$O$22</definedName>
    <definedName name="Навык_скиталец_побег_из_боя">Формулы!$O$24</definedName>
    <definedName name="Навык_скиталец_потеря_трофеев">Формулы!$O$23</definedName>
    <definedName name="Навык_сопр._эфф.">Формулы!$F$17</definedName>
    <definedName name="Навык_спринтер_ОД">Формулы!$I$3</definedName>
    <definedName name="Навык_стрелок_дальность">Формулы!$U$6</definedName>
    <definedName name="Навык_стрелок_крит._попадание">Формулы!$U$5</definedName>
    <definedName name="Навык_стрелок_крит._урон">Формулы!$U$4</definedName>
    <definedName name="Навык_стрелок_точность">Формулы!$U$3</definedName>
    <definedName name="Навык_стрелок_урон">Формулы!$U$7</definedName>
    <definedName name="Навык_ТБ_крит._уклонение">Формулы!$F$20</definedName>
    <definedName name="Навык_ТБ_маскировка">Формулы!$F$19</definedName>
    <definedName name="Навык_торговец">Формулы!$R$11</definedName>
    <definedName name="Навык_точность">Формулы!$C$14</definedName>
    <definedName name="Навык_турист_грузоподъемность">Формулы!$L$14</definedName>
    <definedName name="Навык_УБ_защита">Формулы!$F$27</definedName>
    <definedName name="Навык_УБ_крит._защита" comment="Не актуально">Формулы!$F$26</definedName>
    <definedName name="Навык_УБ_сопр._эфф.">Формулы!$F$25</definedName>
    <definedName name="Навык_урон">Формулы!$C$10</definedName>
    <definedName name="Навык_ШБ_защита">Формулы!$F$22</definedName>
    <definedName name="Навык_ШБ_крит._уклонение">Формулы!$F$23</definedName>
    <definedName name="Навык_ШВ_крит._урон">Формулы!$C$23</definedName>
    <definedName name="Навык_ШВ_точность">Формулы!$C$24</definedName>
    <definedName name="Навык_ШВ_Урон">Формулы!$C$22</definedName>
    <definedName name="Навык_щиты_защита">Формулы!$F$29</definedName>
    <definedName name="Навык_эфф._боеприпасов">Формулы!$C$34</definedName>
    <definedName name="Перцептил_альфа_Крит._попадание">Формулы!$C$72</definedName>
    <definedName name="Перцептил_альфа_М_Крит._попадание">Формулы!$I$72</definedName>
    <definedName name="Перцептил_альфа_М_точность">Формулы!$I$70</definedName>
    <definedName name="Перцептил_альфа_М_эффективность_боеприпасов">Формулы!$I$71</definedName>
    <definedName name="Перцептил_альфа_точность">Формулы!$C$70</definedName>
    <definedName name="Перцептил_альфа_Эффективность_боеприпасов">Формулы!$C$71</definedName>
    <definedName name="Перцептил_бета_Крит._попадание">Формулы!$F$72</definedName>
    <definedName name="Перцептил_бета_М_Крит._попадание">Формулы!$L$72</definedName>
    <definedName name="Перцептил_бета_М_точность">Формулы!$L$70</definedName>
    <definedName name="Перцептил_бета_М_эффективность_боеприпасов">Формулы!$L$71</definedName>
    <definedName name="Перцептил_бета_точность">Формулы!$F$70</definedName>
    <definedName name="Перцептил_бета_Эффективность_боеприпасов">Формулы!$F$71</definedName>
    <definedName name="Перцептил_крит._попадание">Формулы!$O$72</definedName>
    <definedName name="Перцептил_точность">Формулы!$O$70</definedName>
    <definedName name="Перцептил_эффективность_боеприпасов">Формулы!$O$71</definedName>
    <definedName name="Пулиметыкритурон" comment="Пулиметы критический укрон">IF(OR(Примерочная!J1048566="Тип 67",Примерочная!J1048566="М60",Примерочная!J1048566="М249 SAW",Примерочная!J1048566="M240",Примерочная!J1048566="HK MG4",Примерочная!J1048566="Mk48",Примерочная!J1048566="ПКП Печенег",Примерочная!J1048566="ПКМ",Примерочная!J1048566="Утес М",Примерочная!J1048566="LCS-450 Dracula",Примерочная!J1048566="NS-1 Каратель",Примерочная!J1048566="Hellstorm"),VLOOKUP(Примерочная!J1048566,#REF!,2,0)/100*IF((Навыки!XFB5&gt;=3)*(Навыки!XFB5&lt;6),1,IF((Навыки!XFB5&gt;=6)*(Навыки!XFB5&lt;9),2,IF((Навыки!XFB5&gt;=9)*(Навыки!XFB5&lt;12),3,IF((Навыки!XFB5&gt;=12)*(Навыки!XFB5&lt;15),4,IF((Навыки!XFB5&gt;=15)*(Навыки!XFB5&lt;18),5,IF((Навыки!XFB5&gt;=18)*(Навыки!XFB5&lt;21),6,IF((Навыки!XFB5&gt;=21)*(Навыки!XFB5&lt;24),7,IF((Навыки!XFB5&gt;=24)*(Навыки!XFB5&lt;27),8,IF((Навыки!XFB5&gt;=27)*(Навыки!XFB5&lt;30),9,IF((Навыки!XFB5&gt;=30)*(Навыки!XFB5&lt;33),10,IF((Навыки!XFB5&gt;=31),11,0))))))))))),0)</definedName>
    <definedName name="Рекуперант_альфа_востановление_эфф.">Формулы!$C$85</definedName>
    <definedName name="Рекуперант_альфа_М_востановление_эфф.">Формулы!$I$85</definedName>
    <definedName name="Рекуперант_альфа_М_регенирация">Формулы!$I$84</definedName>
    <definedName name="Рекуперант_альфа_регенирация">Формулы!$C$84</definedName>
    <definedName name="Рекуперант_бета_востановление_эфф.">Формулы!$F$85</definedName>
    <definedName name="Рекуперант_бета_М_востановление_эфф.">Формулы!$L$85</definedName>
    <definedName name="Рекуперант_бета_М_регенирация">Формулы!$L$84</definedName>
    <definedName name="Рекуперант_бета_регенирация">Формулы!$F$84</definedName>
    <definedName name="репульсибеттаМ">Формулы!$L$81</definedName>
    <definedName name="Репульсин_альфа_крит._защита">Формулы!$C$82</definedName>
    <definedName name="Репульсин_альфа_М_крит._защита">Формулы!$I$82</definedName>
    <definedName name="Репульсин_альфа_М_снижение_урона">Формулы!$I$81</definedName>
    <definedName name="Репульсин_альфа_снижение_урона">Формулы!$C$81</definedName>
    <definedName name="Репульсин_бета_крит._защита">Формулы!$F$82</definedName>
    <definedName name="Репульсин_бета_М_крит._защита">Формулы!$L$82</definedName>
    <definedName name="Репульсин_бета_М_снижение_урона">Формулы!$L$81</definedName>
    <definedName name="Репульсин_бета_снижение_урона">Формулы!$F$81</definedName>
    <definedName name="репульсинальфа">Формулы!$C$81</definedName>
    <definedName name="репульсинальфаМ">Формулы!$I$81</definedName>
    <definedName name="репульсинбетта">Формулы!$F$81</definedName>
    <definedName name="список">Стимуляторы!#REF!</definedName>
    <definedName name="Стимуляторы10" comment="Для живучести выбор стима">INDEX('Таблицы броня'!$A$107:$A$144,MATCH(#REF!,'Таблицы броня'!$B$107:$B$144,0))</definedName>
    <definedName name="Стимуляторы11" comment="Для живучести выбор стима">INDEX('Таблицы броня'!$A$107:$A$144,MATCH(#REF!,'Таблицы броня'!$B$107:$B$144,0))</definedName>
    <definedName name="Стимуляторы12">INDEX('Таблицы броня'!$A$107:$A$144,MATCH(#REF!,'Таблицы броня'!$B$107:$B$144,0))</definedName>
    <definedName name="Стимуляторы2" comment="Для живучести выбор стима">INDEX('Таблицы броня'!$A$107:$A$144,MATCH(#REF!,'Таблицы броня'!$B$107:$B$144,0))</definedName>
    <definedName name="Стимуляторы3" comment="Для живучести выбор стима">INDEX('Таблицы броня'!$A$107:$A$144,MATCH(#REF!,'Таблицы броня'!$B$107:$B$144,0))</definedName>
    <definedName name="Стимуляторы4" comment="Для живучести выбор стима">INDEX('Таблицы броня'!$A$107:$A$144,MATCH(#REF!,'Таблицы броня'!$B$107:$B$144,0))</definedName>
    <definedName name="Стимуляторы5" comment="Для живучести выбор стима">INDEX('Таблицы броня'!$A$107:$A$144,MATCH(#REF!,'Таблицы броня'!$B$107:$B$144,0))</definedName>
    <definedName name="Стимуляторы6" comment="Для живучести выбор стима">INDEX('Таблицы броня'!$A$107:$A$144,MATCH(#REF!,'Таблицы броня'!$B$107:$B$144,0))</definedName>
    <definedName name="Стимуляторы7" comment="Для живучести выбор стима">INDEX('Таблицы броня'!$A$107:$A$144,MATCH(#REF!,'Таблицы броня'!$B$107:$B$144,0))</definedName>
    <definedName name="Стимуляторы8" comment="Для живучести выбор стима">INDEX('Таблицы броня'!$A$107:$A$144,MATCH(#REF!,'Таблицы броня'!$B$107:$B$144,0))</definedName>
    <definedName name="Стимуляторы9" comment="Для живучести выбор стима">INDEX('Таблицы броня'!$A$107:$A$144,MATCH(#REF!,'Таблицы броня'!$B$107:$B$144,0))</definedName>
    <definedName name="Трениг_В_крит._попадание">Формулы!$O$7</definedName>
    <definedName name="Тренинг_В_точность">Формулы!$O$6</definedName>
    <definedName name="Тренинг_И_крит._урон">Формулы!$O$3</definedName>
    <definedName name="Тренинг_И_урон">Формулы!$O$4</definedName>
    <definedName name="Тренинг_Л_крит._уклонение">Формулы!$O$17</definedName>
    <definedName name="Тренинг_Л_маскировка">Формулы!$O$15</definedName>
    <definedName name="Тренинг_Л_ОД">Формулы!$O$16</definedName>
    <definedName name="Тренинг_С_грузоподъемность">Формулы!$O$20</definedName>
    <definedName name="Тренинг_С_здоровье">Формулы!$O$19</definedName>
    <definedName name="Тренинг_СВ_крит._защ">Формулы!$O$13</definedName>
    <definedName name="Тренинг_СВ_снижение_урона">Формулы!$O$12</definedName>
    <definedName name="Тренинг_Т_здоровье">Формулы!$O$10</definedName>
    <definedName name="Тренинг_Т_сопр._эфф.">Формулы!$O$9</definedName>
    <definedName name="уронкритьурон" comment="навык урон к критурону">VLOOKUP(Навыки!XFB1048575,Таблица_навык_урон[],4,0)/(1*100)</definedName>
    <definedName name="Цепочка_ветеран_дальность">Формулы!$C$105</definedName>
    <definedName name="Цепочка_ветеран_крит.попадание">Формулы!$C$103</definedName>
    <definedName name="Цепочка_ветеран_крит.урон">Формулы!$C$104</definedName>
    <definedName name="Цепочка_ветеран_точность">Формулы!$C$102</definedName>
    <definedName name="Цепочка_ветеран_урон">Формулы!$C$106</definedName>
    <definedName name="Цепочка_гангстер_крит.поп">Формулы!$C$109</definedName>
    <definedName name="Цепочка_гангстер_крит.урон">Формулы!$C$110</definedName>
    <definedName name="Цепочка_гангстер_точность">Формулы!$C$108</definedName>
    <definedName name="Цепочка_гангстер_урон">Формулы!$C$111</definedName>
    <definedName name="Цепочка_гвардеец_защита">Формулы!$C$118</definedName>
    <definedName name="Цепочка_гвардеец_крит.защита">Формулы!$C$116</definedName>
    <definedName name="Цепочка_гвардеец_крит.уклонение">Формулы!$C$117</definedName>
    <definedName name="Цепочка_гвардеец_маскировка">Формулы!$C$114</definedName>
    <definedName name="Цепочка_гвардеец_сопротивление_эффектам">Формулы!$C$115</definedName>
    <definedName name="Цепочка_дальнобойщик_грузоподъемность">Формулы!$F$103</definedName>
    <definedName name="Цепочка_дальнобольщик_скорость_по_карте">Формулы!$F$102</definedName>
    <definedName name="Цепочка_допинг_длительность_стимуляторов">Формулы!$F$108</definedName>
    <definedName name="Цепочка_допинг_интоксикация">Формулы!$F$106</definedName>
    <definedName name="Цепочка_допинг_эфф.стимуляторов">Формулы!$F$107</definedName>
    <definedName name="Цепочка_истребитель_монстров_урон_по_мобам">Формулы!$F$110</definedName>
    <definedName name="Цепочка_Колос_злоровье">Формулы!$F$113</definedName>
    <definedName name="Цепочка_Колос_эфф.аптечек">Формулы!$F$112</definedName>
    <definedName name="Цепочка_коммандос_защита_ТБ">Формулы!$F$118</definedName>
    <definedName name="Цепочка_коммандос_маскировка_ТБ">Формулы!$F$115</definedName>
    <definedName name="Цепочка_коммандос_ОД">Формулы!$F$117</definedName>
    <definedName name="Цепочка_коммандос_урон_СВ">Формулы!$F$119</definedName>
    <definedName name="Цепочка_коммандос_эфф.боеприпасов">Формулы!$F$116</definedName>
    <definedName name="Цепочка_легионер_защита_ШБ">Формулы!$I$105</definedName>
    <definedName name="Цепочка_легионер_критическая_защита_ШБ">Формулы!$I$104</definedName>
    <definedName name="Цепочка_легионер_критический_урон_ШВ">Формулы!$I$103</definedName>
    <definedName name="Цепочка_легионер_критическое_уклонение_ШБ">Формулы!$I$102</definedName>
    <definedName name="Цепочка_легионер_урон_ШВ">Формулы!$I$106</definedName>
    <definedName name="Цепочка_медик_ОД_на_использование_аптечек">Формулы!$I$109</definedName>
    <definedName name="Цепочка_медик_эфф.аптечек">Формулы!$I$108</definedName>
    <definedName name="Цепочка_огненный_шторм_дальность_броска">Формулы!$I$114</definedName>
    <definedName name="Цепочка_огненный_шторм_радиус_взрыва">Формулы!$I$112</definedName>
    <definedName name="Цепочка_огненный_шторм_сопротивление_эффектам">Формулы!$I$111</definedName>
    <definedName name="Цепочка_огненный_шторм_урон_гранат">Формулы!$I$113</definedName>
    <definedName name="Цепочка_охотник_крит.попадание">Формулы!$I$116</definedName>
    <definedName name="Цепочка_охотник_крит.урон">Формулы!$I$117</definedName>
    <definedName name="Цепочка_охотник_сопротивление_эфф.">Формулы!$I$119</definedName>
    <definedName name="Цепочка_охотник_урон_по_монстрам">Формулы!$I$120</definedName>
    <definedName name="Цепочка_охотник_шанс_получить_боевой_дух">Формулы!$I$118</definedName>
    <definedName name="Цепочка_палач_защита_ШБ">Формулы!$L$105</definedName>
    <definedName name="Цепочка_палач_критический_урон_пулиметов">Формулы!$L$103</definedName>
    <definedName name="Цепочка_палач_критическое_уклонение_ШБ">Формулы!$L$102</definedName>
    <definedName name="Цепочка_палач_ОД_на_выстрел_пулиметов">Формулы!$L$104</definedName>
    <definedName name="Цепочка_палач_урон_пулиметов">Формулы!$L$106</definedName>
    <definedName name="Цепочка_разведчик_время_сканирования">Формулы!$L$110</definedName>
    <definedName name="Цепочка_разведчик_награда_аномалий_любого_типа">Формулы!$L$111</definedName>
    <definedName name="Цепочка_разведчик_радиус_излучаемых_помех">Формулы!$L$108</definedName>
    <definedName name="Цепочка_разведчик_чувствительность_сенсоров">Формулы!$L$109</definedName>
    <definedName name="Цепочка_разрушитель_урон">Формулы!$L$113</definedName>
    <definedName name="Цепочка_сапер_сопротивление_эффектам">Формулы!$L$115</definedName>
    <definedName name="Цепочка_скиталец_побег_из_боя">Формулы!$O$103</definedName>
    <definedName name="Цепочка_скиталец_скорость_по_карте">Формулы!$O$102</definedName>
    <definedName name="Цепочка_странник_побег_из_боя">Формулы!$O$115</definedName>
    <definedName name="Цепочка_странник_потеря_трофеев">Формулы!$O$116</definedName>
    <definedName name="Цепочка_странник_потеря_трофеев_при_смерти">Формулы!$O$118</definedName>
    <definedName name="Цепочка_странник_скорость_по_карте">Формулы!$O$114</definedName>
    <definedName name="Цепочка_странник_шанс_случайной_встречи">Формулы!$O$117</definedName>
    <definedName name="Цепочка_стрелок_дальность_П_ПП">Формулы!$O$111</definedName>
    <definedName name="Цепочка_стрелок_критическое_попадание_П_ПП">Формулы!$O$110</definedName>
    <definedName name="Цепочка_стрелок_ОД_на_перезарядку_оружия">Формулы!$O$108</definedName>
    <definedName name="Цепочка_стрелок_Точность_П_ПП">Формулы!$O$109</definedName>
    <definedName name="Цепочка_стрелок_урон_П_ПП">Формулы!$O$112</definedName>
    <definedName name="Цепочка_турбо_ОД">Формулы!$R$107</definedName>
    <definedName name="Цепочка_турбо_ОД_на_использование_аптечек">Формулы!$R$106</definedName>
    <definedName name="Цепочка_турбо_ОД_на_перезарядку_оружия">Формулы!$R$105</definedName>
    <definedName name="Цепочка_турбо_ОД_на_экипировку_оружия">Формулы!$R$104</definedName>
    <definedName name="Цепочка_универсальный_солдат_защита">Формулы!$R$112</definedName>
    <definedName name="Цепочка_универсальный_солдат_ОД">Формулы!$R$111</definedName>
    <definedName name="Цепочка_универсальный_солдат_урон">Формулы!$R$113</definedName>
    <definedName name="Цепочка_универсальный_солдат_эфф._аптечек">Формулы!$R$109</definedName>
    <definedName name="Цепочка_универсальный_солдат_эффективность_боеприпасов">Формулы!$R$110</definedName>
    <definedName name="ШВкритпопадание">Формулы!$J$15</definedName>
    <definedName name="ШВкритурон" comment="Навык ШВ на критурон">IF(OR(Примерочная!J1048566="AK-47",Примерочная!J1048566="M16",Примерочная!J1048566="Beretta ARX-160",Примерочная!J1048566="L85",Примерочная!J1048566="AK-74M",Примерочная!J1048566="HK G3",Примерочная!J1048566="ОЦ-14 Гроза",Примерочная!J1048566="Steyr AUG",Примерочная!J1048566="G36C",Примерочная!J1048566="SIG516",Примерочная!J1048566="FN SCAR",Примерочная!J1048566="HK 416",Примерочная!J1048566="Tavor TAR-21",Примерочная!J1048566="AH-94 Абакан",Примерочная!J1048566="АС Вал",Примерочная!J1048566="АЕК-973",Примерочная!J1048566="АК-9",Примерочная!J1048566="FN F2000",Примерочная!J1048566="DXT-5",Примерочная!J1048566="DS-1 Desert Shark",Примерочная!J1048566="PQ-17 Шквал",Примерочная!J1048566="АМ-14 Мгла",Примерочная!J1048566="Fury",Примерочная!J1048566="Rage"),VLOOKUP(Примерочная!J1048566,#REF!,2,0)/100*IF((Навыки!XFB4&gt;=4)*(Навыки!XFB4&lt;8),1,IF((Навыки!XFB4&gt;=8)*(Навыки!XFB4&lt;12),2,IF((Навыки!XFB4&gt;=12)*(Навыки!XFB4&lt;16),3,IF((Навыки!XFB4&gt;=16)*(Навыки!XFB4&lt;20),4,IF((Навыки!XFB4&gt;=20)*(Навыки!XFB4&lt;24),5,IF((Навыки!XFB4&gt;=24)*(Навыки!XFB4&lt;28),6,IF((Навыки!XFB4&gt;=28)*(Навыки!XFB4&lt;32),7,IF((Навыки!XFB4&gt;=32),8,0)))))))),0)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9" i="24" l="1"/>
  <c r="B38" i="24"/>
  <c r="B37" i="24"/>
  <c r="B36" i="24"/>
  <c r="B35" i="24"/>
  <c r="B34" i="24"/>
  <c r="B33" i="24"/>
  <c r="B32" i="24"/>
  <c r="B31" i="24"/>
  <c r="B30" i="24"/>
  <c r="B29" i="24"/>
  <c r="B28" i="24"/>
  <c r="B27" i="24"/>
  <c r="C27" i="24" s="1"/>
  <c r="O76" i="15"/>
  <c r="C28" i="24" l="1"/>
  <c r="C29" i="24" s="1"/>
  <c r="C30" i="24" s="1"/>
  <c r="C31" i="24" s="1"/>
  <c r="C32" i="24" s="1"/>
  <c r="C33" i="24" s="1"/>
  <c r="C34" i="24" s="1"/>
  <c r="C35" i="24" s="1"/>
  <c r="C36" i="24" s="1"/>
  <c r="C37" i="24" s="1"/>
  <c r="C38" i="24" s="1"/>
  <c r="C39" i="24" s="1"/>
  <c r="C98" i="15" s="1"/>
  <c r="B2" i="24" l="1"/>
  <c r="B8" i="19"/>
  <c r="X3" i="15" l="1"/>
  <c r="X4" i="15"/>
  <c r="X5" i="15"/>
  <c r="M13" i="14" l="1"/>
  <c r="AH8" i="4" s="1"/>
  <c r="M6" i="14"/>
  <c r="AH1" i="4" s="1"/>
  <c r="C57" i="15" l="1"/>
  <c r="C56" i="15"/>
  <c r="C55" i="15"/>
  <c r="J44" i="4"/>
  <c r="J43" i="4"/>
  <c r="J42" i="4"/>
  <c r="A44" i="4"/>
  <c r="A43" i="4"/>
  <c r="A42" i="4"/>
  <c r="C49" i="15"/>
  <c r="C50" i="15"/>
  <c r="C48" i="15"/>
  <c r="I62" i="15" l="1"/>
  <c r="F60" i="15"/>
  <c r="C62" i="15"/>
  <c r="R119" i="15"/>
  <c r="R117" i="15"/>
  <c r="R116" i="15"/>
  <c r="R118" i="15"/>
  <c r="R115" i="15"/>
  <c r="O117" i="15"/>
  <c r="O116" i="15"/>
  <c r="K164" i="29"/>
  <c r="K165" i="29" s="1"/>
  <c r="K166" i="29" s="1"/>
  <c r="K167" i="29" s="1"/>
  <c r="K168" i="29" s="1"/>
  <c r="K169" i="29" s="1"/>
  <c r="K170" i="29" s="1"/>
  <c r="I164" i="29"/>
  <c r="I165" i="29" s="1"/>
  <c r="I166" i="29" s="1"/>
  <c r="I167" i="29" s="1"/>
  <c r="I168" i="29" s="1"/>
  <c r="I169" i="29" s="1"/>
  <c r="I170" i="29" s="1"/>
  <c r="G164" i="29"/>
  <c r="G165" i="29" s="1"/>
  <c r="G166" i="29" s="1"/>
  <c r="G167" i="29" s="1"/>
  <c r="G168" i="29" s="1"/>
  <c r="G169" i="29" s="1"/>
  <c r="G170" i="29" s="1"/>
  <c r="E164" i="29"/>
  <c r="E165" i="29" s="1"/>
  <c r="E166" i="29" s="1"/>
  <c r="E167" i="29" s="1"/>
  <c r="E168" i="29" s="1"/>
  <c r="E169" i="29" s="1"/>
  <c r="E170" i="29" s="1"/>
  <c r="C164" i="29"/>
  <c r="O114" i="15" s="1"/>
  <c r="O115" i="15" l="1"/>
  <c r="O118" i="15"/>
  <c r="L106" i="15"/>
  <c r="L104" i="15"/>
  <c r="L103" i="15"/>
  <c r="U19" i="15"/>
  <c r="U18" i="15"/>
  <c r="U17" i="15"/>
  <c r="U16" i="15"/>
  <c r="U15" i="15"/>
  <c r="U13" i="15"/>
  <c r="U12" i="15"/>
  <c r="U11" i="15"/>
  <c r="U10" i="15"/>
  <c r="U9" i="15"/>
  <c r="U7" i="15"/>
  <c r="U6" i="15"/>
  <c r="U5" i="15"/>
  <c r="U4" i="15"/>
  <c r="U3" i="15"/>
  <c r="K200" i="29"/>
  <c r="K201" i="29" s="1"/>
  <c r="I200" i="29"/>
  <c r="I201" i="29" s="1"/>
  <c r="G200" i="29"/>
  <c r="G201" i="29" s="1"/>
  <c r="E200" i="29"/>
  <c r="E201" i="29" s="1"/>
  <c r="C200" i="29"/>
  <c r="C201" i="29" s="1"/>
  <c r="K191" i="29"/>
  <c r="R113" i="15" s="1"/>
  <c r="I191" i="29"/>
  <c r="G191" i="29"/>
  <c r="E191" i="29"/>
  <c r="C191" i="29"/>
  <c r="K182" i="29"/>
  <c r="K183" i="29" s="1"/>
  <c r="I182" i="29"/>
  <c r="G182" i="29"/>
  <c r="E182" i="29"/>
  <c r="C182" i="29"/>
  <c r="K173" i="29"/>
  <c r="K174" i="29" s="1"/>
  <c r="I173" i="29"/>
  <c r="I174" i="29" s="1"/>
  <c r="G173" i="29"/>
  <c r="G174" i="29" s="1"/>
  <c r="E173" i="29"/>
  <c r="E174" i="29" s="1"/>
  <c r="C173" i="29"/>
  <c r="C165" i="29"/>
  <c r="C166" i="29" s="1"/>
  <c r="C167" i="29" s="1"/>
  <c r="C168" i="29" s="1"/>
  <c r="C169" i="29" s="1"/>
  <c r="C170" i="29" s="1"/>
  <c r="K155" i="29"/>
  <c r="K156" i="29" s="1"/>
  <c r="I155" i="29"/>
  <c r="I156" i="29" s="1"/>
  <c r="G155" i="29"/>
  <c r="G156" i="29" s="1"/>
  <c r="E155" i="29"/>
  <c r="E156" i="29" s="1"/>
  <c r="C155" i="29"/>
  <c r="C156" i="29" s="1"/>
  <c r="I147" i="29"/>
  <c r="K146" i="29"/>
  <c r="K147" i="29" s="1"/>
  <c r="I146" i="29"/>
  <c r="G146" i="29"/>
  <c r="G147" i="29" s="1"/>
  <c r="E146" i="29"/>
  <c r="E147" i="29" s="1"/>
  <c r="C146" i="29"/>
  <c r="C147" i="29" s="1"/>
  <c r="K137" i="29"/>
  <c r="K138" i="29" s="1"/>
  <c r="I137" i="29"/>
  <c r="I138" i="29" s="1"/>
  <c r="G137" i="29"/>
  <c r="G138" i="29" s="1"/>
  <c r="E137" i="29"/>
  <c r="E138" i="29" s="1"/>
  <c r="C137" i="29"/>
  <c r="C138" i="29" s="1"/>
  <c r="K128" i="29"/>
  <c r="K129" i="29" s="1"/>
  <c r="I128" i="29"/>
  <c r="I129" i="29" s="1"/>
  <c r="G128" i="29"/>
  <c r="G129" i="29" s="1"/>
  <c r="E128" i="29"/>
  <c r="E129" i="29" s="1"/>
  <c r="C128" i="29"/>
  <c r="C129" i="29" s="1"/>
  <c r="K120" i="29"/>
  <c r="K119" i="29"/>
  <c r="I119" i="29"/>
  <c r="I120" i="29" s="1"/>
  <c r="G119" i="29"/>
  <c r="G120" i="29" s="1"/>
  <c r="E119" i="29"/>
  <c r="E120" i="29" s="1"/>
  <c r="C119" i="29"/>
  <c r="C120" i="29" s="1"/>
  <c r="K110" i="29"/>
  <c r="K111" i="29" s="1"/>
  <c r="I110" i="29"/>
  <c r="I111" i="29" s="1"/>
  <c r="G110" i="29"/>
  <c r="G111" i="29" s="1"/>
  <c r="E110" i="29"/>
  <c r="E111" i="29" s="1"/>
  <c r="C110" i="29"/>
  <c r="C111" i="29" s="1"/>
  <c r="K101" i="29"/>
  <c r="K102" i="29" s="1"/>
  <c r="I101" i="29"/>
  <c r="I102" i="29" s="1"/>
  <c r="G101" i="29"/>
  <c r="G102" i="29" s="1"/>
  <c r="E101" i="29"/>
  <c r="E102" i="29" s="1"/>
  <c r="C101" i="29"/>
  <c r="C102" i="29" s="1"/>
  <c r="K92" i="29"/>
  <c r="K93" i="29" s="1"/>
  <c r="I92" i="29"/>
  <c r="I93" i="29" s="1"/>
  <c r="G92" i="29"/>
  <c r="G93" i="29" s="1"/>
  <c r="E92" i="29"/>
  <c r="E93" i="29" s="1"/>
  <c r="C92" i="29"/>
  <c r="C93" i="29" s="1"/>
  <c r="K83" i="29"/>
  <c r="K84" i="29" s="1"/>
  <c r="I83" i="29"/>
  <c r="I84" i="29" s="1"/>
  <c r="G83" i="29"/>
  <c r="G84" i="29" s="1"/>
  <c r="E83" i="29"/>
  <c r="E84" i="29" s="1"/>
  <c r="C83" i="29"/>
  <c r="C84" i="29" s="1"/>
  <c r="E75" i="29"/>
  <c r="K74" i="29"/>
  <c r="K75" i="29" s="1"/>
  <c r="I74" i="29"/>
  <c r="I75" i="29" s="1"/>
  <c r="G74" i="29"/>
  <c r="G75" i="29" s="1"/>
  <c r="E74" i="29"/>
  <c r="C74" i="29"/>
  <c r="C75" i="29" s="1"/>
  <c r="K65" i="29"/>
  <c r="K66" i="29" s="1"/>
  <c r="I65" i="29"/>
  <c r="I66" i="29" s="1"/>
  <c r="G65" i="29"/>
  <c r="G66" i="29" s="1"/>
  <c r="E65" i="29"/>
  <c r="E66" i="29" s="1"/>
  <c r="C65" i="29"/>
  <c r="C66" i="29" s="1"/>
  <c r="K56" i="29"/>
  <c r="K57" i="29" s="1"/>
  <c r="I56" i="29"/>
  <c r="I57" i="29" s="1"/>
  <c r="G56" i="29"/>
  <c r="G57" i="29" s="1"/>
  <c r="E56" i="29"/>
  <c r="E57" i="29" s="1"/>
  <c r="C56" i="29"/>
  <c r="C57" i="29" s="1"/>
  <c r="K47" i="29"/>
  <c r="K48" i="29" s="1"/>
  <c r="I47" i="29"/>
  <c r="I48" i="29" s="1"/>
  <c r="G47" i="29"/>
  <c r="G48" i="29" s="1"/>
  <c r="E47" i="29"/>
  <c r="E48" i="29" s="1"/>
  <c r="C47" i="29"/>
  <c r="C48" i="29" s="1"/>
  <c r="K38" i="29"/>
  <c r="K39" i="29" s="1"/>
  <c r="I38" i="29"/>
  <c r="I39" i="29" s="1"/>
  <c r="G38" i="29"/>
  <c r="G39" i="29" s="1"/>
  <c r="E38" i="29"/>
  <c r="E39" i="29" s="1"/>
  <c r="C38" i="29"/>
  <c r="C39" i="29" s="1"/>
  <c r="C40" i="29"/>
  <c r="C41" i="29" s="1"/>
  <c r="F106" i="15" s="1"/>
  <c r="E40" i="29"/>
  <c r="E41" i="29" s="1"/>
  <c r="F107" i="15" s="1"/>
  <c r="G40" i="29"/>
  <c r="G41" i="29" s="1"/>
  <c r="F108" i="15" s="1"/>
  <c r="I106" i="15"/>
  <c r="I103" i="15"/>
  <c r="C192" i="29" l="1"/>
  <c r="R109" i="15"/>
  <c r="C174" i="29"/>
  <c r="R102" i="15"/>
  <c r="K192" i="29"/>
  <c r="C183" i="29"/>
  <c r="R104" i="15"/>
  <c r="E183" i="29"/>
  <c r="R105" i="15"/>
  <c r="E192" i="29"/>
  <c r="R110" i="15"/>
  <c r="I192" i="29"/>
  <c r="R112" i="15"/>
  <c r="G183" i="29"/>
  <c r="R106" i="15"/>
  <c r="G192" i="29"/>
  <c r="R111" i="15"/>
  <c r="I183" i="29"/>
  <c r="R107" i="15"/>
  <c r="K29" i="29"/>
  <c r="K30" i="29" s="1"/>
  <c r="I29" i="29"/>
  <c r="I30" i="29" s="1"/>
  <c r="G29" i="29"/>
  <c r="G30" i="29" s="1"/>
  <c r="G31" i="29" s="1"/>
  <c r="G32" i="29" s="1"/>
  <c r="G33" i="29" s="1"/>
  <c r="G34" i="29" s="1"/>
  <c r="E29" i="29"/>
  <c r="E30" i="29" s="1"/>
  <c r="E31" i="29" s="1"/>
  <c r="E32" i="29" s="1"/>
  <c r="C29" i="29"/>
  <c r="C30" i="29" s="1"/>
  <c r="C31" i="29" s="1"/>
  <c r="C109" i="15"/>
  <c r="K20" i="29"/>
  <c r="K21" i="29" s="1"/>
  <c r="I20" i="29"/>
  <c r="I21" i="29" s="1"/>
  <c r="G20" i="29"/>
  <c r="G21" i="29" s="1"/>
  <c r="E20" i="29"/>
  <c r="E21" i="29" s="1"/>
  <c r="E22" i="29" s="1"/>
  <c r="E23" i="29" s="1"/>
  <c r="C20" i="29"/>
  <c r="C21" i="29" s="1"/>
  <c r="C22" i="29" s="1"/>
  <c r="K11" i="29"/>
  <c r="K12" i="29" s="1"/>
  <c r="I11" i="29"/>
  <c r="I12" i="29" s="1"/>
  <c r="G11" i="29"/>
  <c r="G12" i="29" s="1"/>
  <c r="E11" i="29"/>
  <c r="E12" i="29" s="1"/>
  <c r="E13" i="29" s="1"/>
  <c r="E14" i="29" s="1"/>
  <c r="E15" i="29" s="1"/>
  <c r="E16" i="29" s="1"/>
  <c r="E17" i="29" s="1"/>
  <c r="C12" i="29"/>
  <c r="C13" i="29" s="1"/>
  <c r="C14" i="29" s="1"/>
  <c r="C15" i="29" s="1"/>
  <c r="C16" i="29" s="1"/>
  <c r="C17" i="29" s="1"/>
  <c r="C108" i="15" s="1"/>
  <c r="G13" i="29"/>
  <c r="G14" i="29" s="1"/>
  <c r="G15" i="29" s="1"/>
  <c r="G16" i="29" s="1"/>
  <c r="G17" i="29" s="1"/>
  <c r="C110" i="15" s="1"/>
  <c r="I13" i="29"/>
  <c r="I14" i="29" s="1"/>
  <c r="I15" i="29" s="1"/>
  <c r="I16" i="29" s="1"/>
  <c r="I17" i="29" s="1"/>
  <c r="C111" i="15" s="1"/>
  <c r="K13" i="29"/>
  <c r="K14" i="29" s="1"/>
  <c r="K15" i="29" s="1"/>
  <c r="K2" i="29"/>
  <c r="K3" i="29" s="1"/>
  <c r="K4" i="29" s="1"/>
  <c r="K5" i="29" s="1"/>
  <c r="K6" i="29" s="1"/>
  <c r="K7" i="29" s="1"/>
  <c r="I2" i="29"/>
  <c r="I3" i="29" s="1"/>
  <c r="I4" i="29" s="1"/>
  <c r="I5" i="29" s="1"/>
  <c r="I6" i="29" s="1"/>
  <c r="G2" i="29"/>
  <c r="G3" i="29" s="1"/>
  <c r="G4" i="29" s="1"/>
  <c r="G5" i="29" s="1"/>
  <c r="E2" i="29"/>
  <c r="E3" i="29" s="1"/>
  <c r="E4" i="29" s="1"/>
  <c r="E5" i="29" s="1"/>
  <c r="C2" i="29"/>
  <c r="C3" i="29" s="1"/>
  <c r="C4" i="29" s="1"/>
  <c r="C5" i="29" s="1"/>
  <c r="C6" i="29" s="1"/>
  <c r="C7" i="29" s="1"/>
  <c r="C8" i="29" s="1"/>
  <c r="K16" i="29" l="1"/>
  <c r="K17" i="29" s="1"/>
  <c r="C112" i="15" s="1"/>
  <c r="C102" i="15"/>
  <c r="C2" i="14"/>
  <c r="F5" i="17"/>
  <c r="K202" i="29"/>
  <c r="K203" i="29" s="1"/>
  <c r="K204" i="29" s="1"/>
  <c r="K205" i="29" s="1"/>
  <c r="K206" i="29" s="1"/>
  <c r="I202" i="29"/>
  <c r="I203" i="29" s="1"/>
  <c r="I204" i="29" s="1"/>
  <c r="I205" i="29" s="1"/>
  <c r="I206" i="29" s="1"/>
  <c r="G202" i="29"/>
  <c r="G203" i="29" s="1"/>
  <c r="G204" i="29" s="1"/>
  <c r="G205" i="29" s="1"/>
  <c r="G206" i="29" s="1"/>
  <c r="E202" i="29"/>
  <c r="E203" i="29" s="1"/>
  <c r="E204" i="29" s="1"/>
  <c r="E205" i="29" s="1"/>
  <c r="E206" i="29" s="1"/>
  <c r="C202" i="29"/>
  <c r="C203" i="29" s="1"/>
  <c r="C204" i="29" s="1"/>
  <c r="C205" i="29" s="1"/>
  <c r="C206" i="29" s="1"/>
  <c r="K193" i="29"/>
  <c r="K194" i="29" s="1"/>
  <c r="K195" i="29" s="1"/>
  <c r="K196" i="29" s="1"/>
  <c r="K197" i="29" s="1"/>
  <c r="I193" i="29"/>
  <c r="I194" i="29" s="1"/>
  <c r="I195" i="29" s="1"/>
  <c r="I196" i="29" s="1"/>
  <c r="I197" i="29" s="1"/>
  <c r="G193" i="29"/>
  <c r="G194" i="29" s="1"/>
  <c r="G195" i="29" s="1"/>
  <c r="G196" i="29" s="1"/>
  <c r="G197" i="29" s="1"/>
  <c r="E193" i="29"/>
  <c r="E194" i="29" s="1"/>
  <c r="E195" i="29" s="1"/>
  <c r="E196" i="29" s="1"/>
  <c r="E197" i="29" s="1"/>
  <c r="C193" i="29"/>
  <c r="C194" i="29" s="1"/>
  <c r="C195" i="29" s="1"/>
  <c r="C196" i="29" s="1"/>
  <c r="C197" i="29" s="1"/>
  <c r="I184" i="29"/>
  <c r="I185" i="29" s="1"/>
  <c r="I186" i="29" s="1"/>
  <c r="I187" i="29" s="1"/>
  <c r="I188" i="29" s="1"/>
  <c r="G184" i="29"/>
  <c r="G185" i="29" s="1"/>
  <c r="G186" i="29" s="1"/>
  <c r="G187" i="29" s="1"/>
  <c r="G188" i="29" s="1"/>
  <c r="E184" i="29"/>
  <c r="E185" i="29" s="1"/>
  <c r="E186" i="29" s="1"/>
  <c r="E187" i="29" s="1"/>
  <c r="E188" i="29" s="1"/>
  <c r="C184" i="29"/>
  <c r="C185" i="29" s="1"/>
  <c r="C186" i="29" s="1"/>
  <c r="C187" i="29" s="1"/>
  <c r="C188" i="29" s="1"/>
  <c r="C175" i="29"/>
  <c r="C176" i="29" s="1"/>
  <c r="C177" i="29" s="1"/>
  <c r="C178" i="29" s="1"/>
  <c r="C179" i="29" s="1"/>
  <c r="K157" i="29"/>
  <c r="K158" i="29" s="1"/>
  <c r="K159" i="29" s="1"/>
  <c r="K160" i="29" s="1"/>
  <c r="K161" i="29" s="1"/>
  <c r="O112" i="15" s="1"/>
  <c r="I157" i="29"/>
  <c r="I158" i="29" s="1"/>
  <c r="I159" i="29" s="1"/>
  <c r="I160" i="29" s="1"/>
  <c r="I161" i="29" s="1"/>
  <c r="O111" i="15" s="1"/>
  <c r="G157" i="29"/>
  <c r="G158" i="29" s="1"/>
  <c r="G159" i="29" s="1"/>
  <c r="G160" i="29" s="1"/>
  <c r="G161" i="29" s="1"/>
  <c r="O110" i="15" s="1"/>
  <c r="E157" i="29"/>
  <c r="E158" i="29" s="1"/>
  <c r="E159" i="29" s="1"/>
  <c r="E160" i="29" s="1"/>
  <c r="E161" i="29" s="1"/>
  <c r="O109" i="15" s="1"/>
  <c r="C157" i="29"/>
  <c r="C158" i="29" s="1"/>
  <c r="C159" i="29" s="1"/>
  <c r="C160" i="29" s="1"/>
  <c r="C161" i="29" s="1"/>
  <c r="O108" i="15" s="1"/>
  <c r="K148" i="29"/>
  <c r="K149" i="29" s="1"/>
  <c r="I148" i="29"/>
  <c r="I149" i="29" s="1"/>
  <c r="G148" i="29"/>
  <c r="G149" i="29" s="1"/>
  <c r="E148" i="29"/>
  <c r="E149" i="29" s="1"/>
  <c r="C148" i="29"/>
  <c r="C149" i="29" s="1"/>
  <c r="G139" i="29"/>
  <c r="G140" i="29" s="1"/>
  <c r="G141" i="29" s="1"/>
  <c r="G142" i="29" s="1"/>
  <c r="G143" i="29" s="1"/>
  <c r="L117" i="15" s="1"/>
  <c r="E139" i="29"/>
  <c r="E140" i="29" s="1"/>
  <c r="E141" i="29" s="1"/>
  <c r="E142" i="29" s="1"/>
  <c r="E143" i="29" s="1"/>
  <c r="L116" i="15" s="1"/>
  <c r="C139" i="29"/>
  <c r="C140" i="29" s="1"/>
  <c r="C141" i="29" s="1"/>
  <c r="C142" i="29" s="1"/>
  <c r="C143" i="29" s="1"/>
  <c r="L115" i="15" s="1"/>
  <c r="C130" i="29"/>
  <c r="C131" i="29" s="1"/>
  <c r="I121" i="29"/>
  <c r="I122" i="29" s="1"/>
  <c r="G121" i="29"/>
  <c r="G122" i="29" s="1"/>
  <c r="E121" i="29"/>
  <c r="E122" i="29" s="1"/>
  <c r="C121" i="29"/>
  <c r="C122" i="29" s="1"/>
  <c r="K112" i="29"/>
  <c r="K113" i="29" s="1"/>
  <c r="K114" i="29" s="1"/>
  <c r="K115" i="29" s="1"/>
  <c r="K116" i="29" s="1"/>
  <c r="I112" i="29"/>
  <c r="I113" i="29" s="1"/>
  <c r="I114" i="29" s="1"/>
  <c r="I115" i="29" s="1"/>
  <c r="I116" i="29" s="1"/>
  <c r="L105" i="15" s="1"/>
  <c r="G112" i="29"/>
  <c r="G113" i="29" s="1"/>
  <c r="G114" i="29" s="1"/>
  <c r="G115" i="29" s="1"/>
  <c r="G116" i="29" s="1"/>
  <c r="E112" i="29"/>
  <c r="E113" i="29" s="1"/>
  <c r="E114" i="29" s="1"/>
  <c r="E115" i="29" s="1"/>
  <c r="E116" i="29" s="1"/>
  <c r="C112" i="29"/>
  <c r="C113" i="29" s="1"/>
  <c r="C114" i="29" s="1"/>
  <c r="C115" i="29" s="1"/>
  <c r="C116" i="29" s="1"/>
  <c r="L102" i="15" s="1"/>
  <c r="K103" i="29"/>
  <c r="K104" i="29" s="1"/>
  <c r="K105" i="29" s="1"/>
  <c r="K106" i="29" s="1"/>
  <c r="K107" i="29" s="1"/>
  <c r="I120" i="15" s="1"/>
  <c r="I103" i="29"/>
  <c r="I104" i="29" s="1"/>
  <c r="I105" i="29" s="1"/>
  <c r="I106" i="29" s="1"/>
  <c r="I107" i="29" s="1"/>
  <c r="I119" i="15" s="1"/>
  <c r="G103" i="29"/>
  <c r="G104" i="29" s="1"/>
  <c r="G105" i="29" s="1"/>
  <c r="G106" i="29" s="1"/>
  <c r="G107" i="29" s="1"/>
  <c r="I118" i="15" s="1"/>
  <c r="E103" i="29"/>
  <c r="E104" i="29" s="1"/>
  <c r="E105" i="29" s="1"/>
  <c r="E106" i="29" s="1"/>
  <c r="E107" i="29" s="1"/>
  <c r="I117" i="15" s="1"/>
  <c r="C103" i="29"/>
  <c r="C104" i="29" s="1"/>
  <c r="C105" i="29" s="1"/>
  <c r="C106" i="29" s="1"/>
  <c r="C107" i="29" s="1"/>
  <c r="I116" i="15" s="1"/>
  <c r="I94" i="29"/>
  <c r="I95" i="29" s="1"/>
  <c r="G94" i="29"/>
  <c r="G95" i="29" s="1"/>
  <c r="E94" i="29"/>
  <c r="E95" i="29" s="1"/>
  <c r="C94" i="29"/>
  <c r="C95" i="29" s="1"/>
  <c r="E85" i="29"/>
  <c r="E86" i="29" s="1"/>
  <c r="E87" i="29" s="1"/>
  <c r="E88" i="29" s="1"/>
  <c r="E89" i="29" s="1"/>
  <c r="I109" i="15" s="1"/>
  <c r="C85" i="29"/>
  <c r="C86" i="29" s="1"/>
  <c r="C87" i="29" s="1"/>
  <c r="C88" i="29" s="1"/>
  <c r="C89" i="29" s="1"/>
  <c r="I108" i="15" s="1"/>
  <c r="K76" i="29"/>
  <c r="K77" i="29" s="1"/>
  <c r="K78" i="29" s="1"/>
  <c r="K79" i="29" s="1"/>
  <c r="K80" i="29" s="1"/>
  <c r="I76" i="29"/>
  <c r="I77" i="29" s="1"/>
  <c r="I78" i="29" s="1"/>
  <c r="I79" i="29" s="1"/>
  <c r="I80" i="29" s="1"/>
  <c r="I105" i="15" s="1"/>
  <c r="G76" i="29"/>
  <c r="G77" i="29" s="1"/>
  <c r="G78" i="29" s="1"/>
  <c r="G79" i="29" s="1"/>
  <c r="G80" i="29" s="1"/>
  <c r="I104" i="15" s="1"/>
  <c r="E76" i="29"/>
  <c r="E77" i="29" s="1"/>
  <c r="E78" i="29" s="1"/>
  <c r="E79" i="29" s="1"/>
  <c r="E80" i="29" s="1"/>
  <c r="C76" i="29"/>
  <c r="C77" i="29" s="1"/>
  <c r="C78" i="29" s="1"/>
  <c r="C79" i="29" s="1"/>
  <c r="C80" i="29" s="1"/>
  <c r="I102" i="15" s="1"/>
  <c r="E67" i="29"/>
  <c r="G67" i="29" s="1"/>
  <c r="I67" i="29" s="1"/>
  <c r="K67" i="29" s="1"/>
  <c r="C67" i="29"/>
  <c r="C68" i="29" s="1"/>
  <c r="E58" i="29"/>
  <c r="E59" i="29" s="1"/>
  <c r="E60" i="29" s="1"/>
  <c r="E61" i="29" s="1"/>
  <c r="E62" i="29" s="1"/>
  <c r="F113" i="15" s="1"/>
  <c r="C58" i="29"/>
  <c r="C59" i="29" s="1"/>
  <c r="C60" i="29" s="1"/>
  <c r="C61" i="29" s="1"/>
  <c r="C62" i="29" s="1"/>
  <c r="F112" i="15" s="1"/>
  <c r="C49" i="29"/>
  <c r="C50" i="29" s="1"/>
  <c r="G42" i="29"/>
  <c r="G43" i="29" s="1"/>
  <c r="G44" i="29" s="1"/>
  <c r="C42" i="29"/>
  <c r="C43" i="29" s="1"/>
  <c r="C44" i="29" s="1"/>
  <c r="G35" i="29"/>
  <c r="F104" i="15" s="1"/>
  <c r="C32" i="29"/>
  <c r="C33" i="29" s="1"/>
  <c r="C34" i="29" s="1"/>
  <c r="C35" i="29" s="1"/>
  <c r="F102" i="15" s="1"/>
  <c r="G22" i="29"/>
  <c r="M9" i="29"/>
  <c r="O9" i="29" s="1"/>
  <c r="Q9" i="29" s="1"/>
  <c r="C69" i="29" l="1"/>
  <c r="C70" i="29" s="1"/>
  <c r="C71" i="29" s="1"/>
  <c r="F115" i="15"/>
  <c r="I96" i="29"/>
  <c r="I97" i="29" s="1"/>
  <c r="I98" i="29" s="1"/>
  <c r="I114" i="15"/>
  <c r="C96" i="29"/>
  <c r="C97" i="29" s="1"/>
  <c r="C98" i="29" s="1"/>
  <c r="I111" i="15"/>
  <c r="G123" i="29"/>
  <c r="G124" i="29" s="1"/>
  <c r="G125" i="29" s="1"/>
  <c r="L110" i="15"/>
  <c r="G150" i="29"/>
  <c r="G151" i="29" s="1"/>
  <c r="G152" i="29" s="1"/>
  <c r="O104" i="15"/>
  <c r="E123" i="29"/>
  <c r="E124" i="29" s="1"/>
  <c r="E125" i="29" s="1"/>
  <c r="L109" i="15"/>
  <c r="E150" i="29"/>
  <c r="E151" i="29" s="1"/>
  <c r="E152" i="29" s="1"/>
  <c r="O103" i="15"/>
  <c r="E96" i="29"/>
  <c r="E97" i="29" s="1"/>
  <c r="E98" i="29" s="1"/>
  <c r="I112" i="15"/>
  <c r="I123" i="29"/>
  <c r="I124" i="29" s="1"/>
  <c r="I125" i="29" s="1"/>
  <c r="L111" i="15"/>
  <c r="I150" i="29"/>
  <c r="I151" i="29" s="1"/>
  <c r="I152" i="29" s="1"/>
  <c r="O105" i="15"/>
  <c r="G96" i="29"/>
  <c r="G97" i="29" s="1"/>
  <c r="G98" i="29" s="1"/>
  <c r="I113" i="15"/>
  <c r="C123" i="29"/>
  <c r="C124" i="29" s="1"/>
  <c r="C125" i="29" s="1"/>
  <c r="L108" i="15"/>
  <c r="C132" i="29"/>
  <c r="C133" i="29" s="1"/>
  <c r="C134" i="29" s="1"/>
  <c r="L113" i="15"/>
  <c r="C150" i="29"/>
  <c r="C151" i="29" s="1"/>
  <c r="C152" i="29" s="1"/>
  <c r="O102" i="15"/>
  <c r="K150" i="29"/>
  <c r="K151" i="29" s="1"/>
  <c r="K152" i="29" s="1"/>
  <c r="O106" i="15"/>
  <c r="C51" i="29"/>
  <c r="C52" i="29" s="1"/>
  <c r="C53" i="29" s="1"/>
  <c r="F110" i="15"/>
  <c r="I22" i="29"/>
  <c r="K22" i="29" s="1"/>
  <c r="G23" i="29"/>
  <c r="E68" i="29"/>
  <c r="E33" i="29"/>
  <c r="E34" i="29" s="1"/>
  <c r="E35" i="29" s="1"/>
  <c r="F103" i="15" s="1"/>
  <c r="E42" i="29"/>
  <c r="E43" i="29" s="1"/>
  <c r="E44" i="29" s="1"/>
  <c r="C23" i="29"/>
  <c r="E6" i="29"/>
  <c r="E7" i="29" s="1"/>
  <c r="E8" i="29" s="1"/>
  <c r="C103" i="15" s="1"/>
  <c r="O95" i="15"/>
  <c r="O94" i="15"/>
  <c r="O93" i="15"/>
  <c r="O92" i="15"/>
  <c r="O91" i="15"/>
  <c r="O90" i="15"/>
  <c r="L91" i="15"/>
  <c r="L90" i="15"/>
  <c r="I94" i="15"/>
  <c r="I93" i="15"/>
  <c r="I92" i="15"/>
  <c r="I91" i="15"/>
  <c r="I90" i="15"/>
  <c r="F95" i="15"/>
  <c r="F94" i="15"/>
  <c r="F93" i="15"/>
  <c r="F92" i="15"/>
  <c r="F91" i="15"/>
  <c r="F90" i="15"/>
  <c r="C95" i="15"/>
  <c r="C94" i="15"/>
  <c r="C91" i="15"/>
  <c r="C90" i="15"/>
  <c r="G68" i="29" l="1"/>
  <c r="F116" i="15"/>
  <c r="E69" i="29"/>
  <c r="E70" i="29" s="1"/>
  <c r="E71" i="29" s="1"/>
  <c r="G24" i="29"/>
  <c r="K68" i="29"/>
  <c r="C24" i="29"/>
  <c r="C25" i="29" s="1"/>
  <c r="C26" i="29" s="1"/>
  <c r="C114" i="15" s="1"/>
  <c r="G6" i="29"/>
  <c r="G7" i="29" s="1"/>
  <c r="G8" i="29" s="1"/>
  <c r="C104" i="15" s="1"/>
  <c r="C18" i="19"/>
  <c r="C17" i="19"/>
  <c r="C16" i="19"/>
  <c r="C15" i="19"/>
  <c r="C14" i="19"/>
  <c r="C13" i="19"/>
  <c r="C12" i="19"/>
  <c r="C11" i="19"/>
  <c r="C10" i="19"/>
  <c r="C9" i="19"/>
  <c r="C8" i="19"/>
  <c r="C7" i="19"/>
  <c r="K69" i="29" l="1"/>
  <c r="K70" i="29" s="1"/>
  <c r="K71" i="29" s="1"/>
  <c r="F119" i="15"/>
  <c r="I68" i="29"/>
  <c r="F117" i="15"/>
  <c r="G69" i="29"/>
  <c r="G70" i="29" s="1"/>
  <c r="G71" i="29" s="1"/>
  <c r="E24" i="29"/>
  <c r="E25" i="29" s="1"/>
  <c r="E26" i="29" s="1"/>
  <c r="C115" i="15" s="1"/>
  <c r="I7" i="29"/>
  <c r="I8" i="29" s="1"/>
  <c r="C105" i="15" s="1"/>
  <c r="K8" i="29"/>
  <c r="C106" i="15" s="1"/>
  <c r="AP17" i="25"/>
  <c r="AR17" i="25"/>
  <c r="AT17" i="25"/>
  <c r="AU17" i="25"/>
  <c r="AV17" i="25"/>
  <c r="AX17" i="25"/>
  <c r="AY17" i="25"/>
  <c r="AQ17" i="25"/>
  <c r="AP16" i="25"/>
  <c r="AS16" i="25"/>
  <c r="AT16" i="25"/>
  <c r="AU16" i="25"/>
  <c r="AW16" i="25"/>
  <c r="AX16" i="25"/>
  <c r="AY16" i="25"/>
  <c r="AQ16" i="25"/>
  <c r="AP15" i="25"/>
  <c r="AR15" i="25"/>
  <c r="AS15" i="25"/>
  <c r="AT15" i="25"/>
  <c r="AV15" i="25"/>
  <c r="AW15" i="25"/>
  <c r="AX15" i="25"/>
  <c r="AP14" i="25"/>
  <c r="AR14" i="25"/>
  <c r="AS14" i="25"/>
  <c r="AT14" i="25"/>
  <c r="AU14" i="25"/>
  <c r="AV14" i="25"/>
  <c r="AW14" i="25"/>
  <c r="AX14" i="25"/>
  <c r="AY14" i="25"/>
  <c r="AQ14" i="25"/>
  <c r="AD17" i="25"/>
  <c r="AF17" i="25"/>
  <c r="AH17" i="25"/>
  <c r="AI17" i="25"/>
  <c r="AJ17" i="25"/>
  <c r="AL17" i="25"/>
  <c r="AM17" i="25"/>
  <c r="AE17" i="25"/>
  <c r="AD16" i="25"/>
  <c r="AG16" i="25"/>
  <c r="AH16" i="25"/>
  <c r="AI16" i="25"/>
  <c r="AK16" i="25"/>
  <c r="AL16" i="25"/>
  <c r="AM16" i="25"/>
  <c r="AE16" i="25"/>
  <c r="AD15" i="25"/>
  <c r="AF15" i="25"/>
  <c r="AG15" i="25"/>
  <c r="AH15" i="25"/>
  <c r="AJ15" i="25"/>
  <c r="AK15" i="25"/>
  <c r="AL15" i="25"/>
  <c r="AF14" i="25"/>
  <c r="AG14" i="25"/>
  <c r="AH14" i="25"/>
  <c r="AI14" i="25"/>
  <c r="AJ14" i="25"/>
  <c r="AK14" i="25"/>
  <c r="AL14" i="25"/>
  <c r="AM14" i="25"/>
  <c r="AD14" i="25"/>
  <c r="AE14" i="25"/>
  <c r="T17" i="25"/>
  <c r="V17" i="25"/>
  <c r="W17" i="25"/>
  <c r="X17" i="25"/>
  <c r="Z17" i="25"/>
  <c r="AA17" i="25"/>
  <c r="R17" i="25"/>
  <c r="S17" i="25"/>
  <c r="R16" i="25"/>
  <c r="U16" i="25"/>
  <c r="V16" i="25"/>
  <c r="W16" i="25"/>
  <c r="Y16" i="25"/>
  <c r="Z16" i="25"/>
  <c r="AA16" i="25"/>
  <c r="S16" i="25"/>
  <c r="R15" i="25"/>
  <c r="T15" i="25"/>
  <c r="U15" i="25"/>
  <c r="V15" i="25"/>
  <c r="X15" i="25"/>
  <c r="Y15" i="25"/>
  <c r="Z15" i="25"/>
  <c r="T14" i="25"/>
  <c r="U14" i="25"/>
  <c r="V14" i="25"/>
  <c r="W14" i="25"/>
  <c r="X14" i="25"/>
  <c r="Y14" i="25"/>
  <c r="Z14" i="25"/>
  <c r="AA14" i="25"/>
  <c r="R14" i="25"/>
  <c r="S14" i="25"/>
  <c r="R12" i="25"/>
  <c r="T12" i="25"/>
  <c r="V12" i="25"/>
  <c r="W12" i="25"/>
  <c r="X12" i="25"/>
  <c r="Z12" i="25"/>
  <c r="AA12" i="25"/>
  <c r="S12" i="25"/>
  <c r="T11" i="25"/>
  <c r="U11" i="25"/>
  <c r="V11" i="25"/>
  <c r="W11" i="25"/>
  <c r="Y11" i="25"/>
  <c r="Z11" i="25"/>
  <c r="AA11" i="25"/>
  <c r="R11" i="25"/>
  <c r="S11" i="25"/>
  <c r="T10" i="25"/>
  <c r="U10" i="25"/>
  <c r="V10" i="25"/>
  <c r="X10" i="25"/>
  <c r="Y10" i="25"/>
  <c r="Z10" i="25"/>
  <c r="R10" i="25"/>
  <c r="S10" i="25"/>
  <c r="S9" i="25"/>
  <c r="T9" i="25"/>
  <c r="U9" i="25"/>
  <c r="V9" i="25"/>
  <c r="W9" i="25"/>
  <c r="X9" i="25"/>
  <c r="Y9" i="25"/>
  <c r="Z9" i="25"/>
  <c r="AA9" i="25"/>
  <c r="R9" i="25"/>
  <c r="AD7" i="25"/>
  <c r="I69" i="29" l="1"/>
  <c r="I70" i="29" s="1"/>
  <c r="I71" i="29" s="1"/>
  <c r="F118" i="15"/>
  <c r="I23" i="29"/>
  <c r="G25" i="29"/>
  <c r="G26" i="29" s="1"/>
  <c r="C116" i="15" s="1"/>
  <c r="AN14" i="25"/>
  <c r="AI15" i="25" s="1"/>
  <c r="AZ14" i="25"/>
  <c r="AQ15" i="25" s="1"/>
  <c r="AE15" i="25"/>
  <c r="AB14" i="25"/>
  <c r="AB9" i="25"/>
  <c r="AA10" i="25" s="1"/>
  <c r="W10" i="25"/>
  <c r="AF7" i="25"/>
  <c r="AG7" i="25"/>
  <c r="AH7" i="25"/>
  <c r="AI7" i="25"/>
  <c r="AJ7" i="25"/>
  <c r="AL7" i="25"/>
  <c r="AM7" i="25"/>
  <c r="AE7" i="25"/>
  <c r="AD6" i="25"/>
  <c r="AF6" i="25"/>
  <c r="AG6" i="25"/>
  <c r="AH6" i="25"/>
  <c r="AI6" i="25"/>
  <c r="AK6" i="25"/>
  <c r="AL6" i="25"/>
  <c r="AM6" i="25"/>
  <c r="AE6" i="25"/>
  <c r="AD5" i="25"/>
  <c r="AF5" i="25"/>
  <c r="AG5" i="25"/>
  <c r="AH5" i="25"/>
  <c r="AJ5" i="25"/>
  <c r="AK5" i="25"/>
  <c r="AL5" i="25"/>
  <c r="AE5" i="25"/>
  <c r="AD4" i="25"/>
  <c r="AF4" i="25"/>
  <c r="AG4" i="25"/>
  <c r="AH4" i="25"/>
  <c r="AI4" i="25"/>
  <c r="AJ4" i="25"/>
  <c r="AK4" i="25"/>
  <c r="AL4" i="25"/>
  <c r="AM4" i="25"/>
  <c r="AE4" i="25"/>
  <c r="R7" i="25"/>
  <c r="T7" i="25"/>
  <c r="U7" i="25"/>
  <c r="V7" i="25"/>
  <c r="W7" i="25"/>
  <c r="X7" i="25"/>
  <c r="Z7" i="25"/>
  <c r="AA7" i="25"/>
  <c r="S7" i="25"/>
  <c r="R6" i="25"/>
  <c r="U6" i="25"/>
  <c r="V6" i="25"/>
  <c r="W6" i="25"/>
  <c r="Y6" i="25"/>
  <c r="Z6" i="25"/>
  <c r="AA6" i="25"/>
  <c r="S6" i="25"/>
  <c r="R5" i="25"/>
  <c r="T5" i="25"/>
  <c r="U5" i="25"/>
  <c r="V5" i="25"/>
  <c r="X5" i="25"/>
  <c r="Y5" i="25"/>
  <c r="Z5" i="25"/>
  <c r="R4" i="25"/>
  <c r="S4" i="25"/>
  <c r="T4" i="25"/>
  <c r="U4" i="25"/>
  <c r="V4" i="25"/>
  <c r="W4" i="25"/>
  <c r="X4" i="25"/>
  <c r="Y4" i="25"/>
  <c r="Z4" i="25"/>
  <c r="AA4" i="25"/>
  <c r="O85" i="15"/>
  <c r="O84" i="15"/>
  <c r="O82" i="15"/>
  <c r="O81" i="15"/>
  <c r="O79" i="15"/>
  <c r="O77" i="15"/>
  <c r="O72" i="15"/>
  <c r="O71" i="15"/>
  <c r="O70" i="15"/>
  <c r="AM15" i="25" l="1"/>
  <c r="AN15" i="25" s="1"/>
  <c r="AY15" i="25"/>
  <c r="AU15" i="25"/>
  <c r="I24" i="29"/>
  <c r="I25" i="29" s="1"/>
  <c r="K23" i="29"/>
  <c r="I26" i="29"/>
  <c r="C117" i="15" s="1"/>
  <c r="S15" i="25"/>
  <c r="W15" i="25"/>
  <c r="AA15" i="25"/>
  <c r="AB10" i="25"/>
  <c r="X11" i="25"/>
  <c r="AN4" i="25"/>
  <c r="AI5" i="25"/>
  <c r="AM5" i="25"/>
  <c r="AB4" i="25"/>
  <c r="AA5" i="25" s="1"/>
  <c r="W5" i="25"/>
  <c r="T6" i="25"/>
  <c r="S5" i="25"/>
  <c r="AF16" i="25" l="1"/>
  <c r="AJ16" i="25"/>
  <c r="AZ15" i="25"/>
  <c r="AR16" i="25"/>
  <c r="AV16" i="25"/>
  <c r="K24" i="29"/>
  <c r="AB5" i="25"/>
  <c r="X6" i="25" s="1"/>
  <c r="AN5" i="25"/>
  <c r="AJ6" i="25"/>
  <c r="S32" i="25"/>
  <c r="T32" i="25"/>
  <c r="V32" i="25"/>
  <c r="W32" i="25"/>
  <c r="X32" i="25"/>
  <c r="Y32" i="25"/>
  <c r="Z32" i="25"/>
  <c r="AA32" i="25"/>
  <c r="R32" i="25"/>
  <c r="S31" i="25"/>
  <c r="U31" i="25"/>
  <c r="V31" i="25"/>
  <c r="W31" i="25"/>
  <c r="X31" i="25"/>
  <c r="Y31" i="25"/>
  <c r="Z31" i="25"/>
  <c r="AA31" i="25"/>
  <c r="R31" i="25"/>
  <c r="T30" i="25"/>
  <c r="U30" i="25"/>
  <c r="V30" i="25"/>
  <c r="X30" i="25"/>
  <c r="Y30" i="25"/>
  <c r="Z30" i="25"/>
  <c r="AA30" i="25"/>
  <c r="R30" i="25"/>
  <c r="S29" i="25"/>
  <c r="T29" i="25"/>
  <c r="U29" i="25"/>
  <c r="V29" i="25"/>
  <c r="W29" i="25"/>
  <c r="X29" i="25"/>
  <c r="Y29" i="25"/>
  <c r="Z29" i="25"/>
  <c r="AA29" i="25"/>
  <c r="R29" i="25"/>
  <c r="AE27" i="25"/>
  <c r="AF27" i="25"/>
  <c r="AH27" i="25"/>
  <c r="AI27" i="25"/>
  <c r="AJ27" i="25"/>
  <c r="AL27" i="25"/>
  <c r="AM27" i="25"/>
  <c r="AD27" i="25"/>
  <c r="AE26" i="25"/>
  <c r="AG26" i="25"/>
  <c r="AH26" i="25"/>
  <c r="AI26" i="25"/>
  <c r="AK26" i="25"/>
  <c r="AL26" i="25"/>
  <c r="AM26" i="25"/>
  <c r="AD26" i="25"/>
  <c r="AF25" i="25"/>
  <c r="AG25" i="25"/>
  <c r="AH25" i="25"/>
  <c r="AJ25" i="25"/>
  <c r="AK25" i="25"/>
  <c r="AL25" i="25"/>
  <c r="AD25" i="25"/>
  <c r="AE24" i="25"/>
  <c r="AF24" i="25"/>
  <c r="AG24" i="25"/>
  <c r="AH24" i="25"/>
  <c r="AI24" i="25"/>
  <c r="AJ24" i="25"/>
  <c r="AK24" i="25"/>
  <c r="AL24" i="25"/>
  <c r="AM24" i="25"/>
  <c r="AD24" i="25"/>
  <c r="K25" i="29" l="1"/>
  <c r="K26" i="29" s="1"/>
  <c r="C118" i="15" s="1"/>
  <c r="AB29" i="25"/>
  <c r="W30" i="25" s="1"/>
  <c r="AN24" i="25"/>
  <c r="AM25" i="25" s="1"/>
  <c r="AI25" i="25"/>
  <c r="T25" i="25"/>
  <c r="U25" i="25"/>
  <c r="V25" i="25"/>
  <c r="X25" i="25"/>
  <c r="Y25" i="25"/>
  <c r="Z25" i="25"/>
  <c r="U26" i="25"/>
  <c r="V26" i="25"/>
  <c r="W26" i="25"/>
  <c r="Y26" i="25"/>
  <c r="Z26" i="25"/>
  <c r="AA26" i="25"/>
  <c r="T27" i="25"/>
  <c r="V27" i="25"/>
  <c r="W27" i="25"/>
  <c r="X27" i="25"/>
  <c r="Z27" i="25"/>
  <c r="AA27" i="25"/>
  <c r="S27" i="25"/>
  <c r="S26" i="25"/>
  <c r="T24" i="25"/>
  <c r="U24" i="25"/>
  <c r="V24" i="25"/>
  <c r="W24" i="25"/>
  <c r="X24" i="25"/>
  <c r="Y24" i="25"/>
  <c r="Z24" i="25"/>
  <c r="AA24" i="25"/>
  <c r="S24" i="25"/>
  <c r="R27" i="25"/>
  <c r="R26" i="25"/>
  <c r="R25" i="25"/>
  <c r="R24" i="25"/>
  <c r="D20" i="25"/>
  <c r="AE25" i="25" l="1"/>
  <c r="S30" i="25"/>
  <c r="AB30" i="25" s="1"/>
  <c r="AN25" i="25"/>
  <c r="AJ26" i="25" s="1"/>
  <c r="AB24" i="25"/>
  <c r="AA25" i="25" s="1"/>
  <c r="AF22" i="25"/>
  <c r="AH22" i="25"/>
  <c r="AI22" i="25"/>
  <c r="AJ22" i="25"/>
  <c r="AL22" i="25"/>
  <c r="AM22" i="25"/>
  <c r="AE22" i="25"/>
  <c r="S22" i="25"/>
  <c r="AG21" i="25"/>
  <c r="AH21" i="25"/>
  <c r="AI21" i="25"/>
  <c r="AK21" i="25"/>
  <c r="AL21" i="25"/>
  <c r="AM21" i="25"/>
  <c r="AE21" i="25"/>
  <c r="AF20" i="25"/>
  <c r="AG20" i="25"/>
  <c r="AH20" i="25"/>
  <c r="AJ20" i="25"/>
  <c r="AK20" i="25"/>
  <c r="AL20" i="25"/>
  <c r="AF19" i="25"/>
  <c r="AG19" i="25"/>
  <c r="AH19" i="25"/>
  <c r="AI19" i="25"/>
  <c r="AJ19" i="25"/>
  <c r="AK19" i="25"/>
  <c r="AL19" i="25"/>
  <c r="AM19" i="25"/>
  <c r="AE19" i="25"/>
  <c r="AD22" i="25"/>
  <c r="AD21" i="25"/>
  <c r="AD20" i="25"/>
  <c r="AD19" i="25"/>
  <c r="T22" i="25"/>
  <c r="V22" i="25"/>
  <c r="W22" i="25"/>
  <c r="X22" i="25"/>
  <c r="Z22" i="25"/>
  <c r="AA22" i="25"/>
  <c r="U21" i="25"/>
  <c r="V21" i="25"/>
  <c r="W21" i="25"/>
  <c r="Y21" i="25"/>
  <c r="Z21" i="25"/>
  <c r="AA21" i="25"/>
  <c r="S21" i="25"/>
  <c r="T20" i="25"/>
  <c r="U20" i="25"/>
  <c r="V20" i="25"/>
  <c r="X20" i="25"/>
  <c r="Y20" i="25"/>
  <c r="Z20" i="25"/>
  <c r="T19" i="25"/>
  <c r="U19" i="25"/>
  <c r="V19" i="25"/>
  <c r="W19" i="25"/>
  <c r="X19" i="25"/>
  <c r="Y19" i="25"/>
  <c r="Z19" i="25"/>
  <c r="AA19" i="25"/>
  <c r="S19" i="25"/>
  <c r="R22" i="25"/>
  <c r="R21" i="25"/>
  <c r="R20" i="25"/>
  <c r="R19" i="25"/>
  <c r="I14" i="19"/>
  <c r="M14" i="19"/>
  <c r="E14" i="19"/>
  <c r="AN9" i="25"/>
  <c r="AN10" i="25"/>
  <c r="AN11" i="25"/>
  <c r="AN12" i="25"/>
  <c r="F13" i="19"/>
  <c r="G13" i="19"/>
  <c r="H13" i="19"/>
  <c r="I13" i="19"/>
  <c r="J13" i="19"/>
  <c r="K13" i="19"/>
  <c r="L13" i="19"/>
  <c r="M13" i="19"/>
  <c r="N13" i="19"/>
  <c r="E13" i="19"/>
  <c r="W25" i="25" l="1"/>
  <c r="T31" i="25"/>
  <c r="AB31" i="25" s="1"/>
  <c r="U32" i="25" s="1"/>
  <c r="AB32" i="25" s="1"/>
  <c r="AF26" i="25"/>
  <c r="AN26" i="25" s="1"/>
  <c r="AG27" i="25" s="1"/>
  <c r="S25" i="25"/>
  <c r="AB25" i="25" s="1"/>
  <c r="T26" i="25" s="1"/>
  <c r="AN19" i="25"/>
  <c r="AM20" i="25" s="1"/>
  <c r="AE20" i="25"/>
  <c r="N14" i="19"/>
  <c r="AB19" i="25"/>
  <c r="AA20" i="25" s="1"/>
  <c r="E10" i="19"/>
  <c r="G9" i="19"/>
  <c r="H9" i="19"/>
  <c r="I9" i="19"/>
  <c r="J9" i="19"/>
  <c r="K9" i="19"/>
  <c r="L9" i="19"/>
  <c r="M9" i="19"/>
  <c r="N9" i="19"/>
  <c r="F9" i="19"/>
  <c r="E9" i="19"/>
  <c r="F11" i="19"/>
  <c r="G11" i="19"/>
  <c r="H11" i="19"/>
  <c r="I11" i="19"/>
  <c r="J11" i="19"/>
  <c r="K11" i="19"/>
  <c r="L11" i="19"/>
  <c r="M11" i="19"/>
  <c r="N11" i="19"/>
  <c r="E11" i="19"/>
  <c r="I12" i="19"/>
  <c r="M12" i="19"/>
  <c r="E12" i="19"/>
  <c r="AK27" i="25" l="1"/>
  <c r="AN27" i="25" s="1"/>
  <c r="X26" i="25"/>
  <c r="AB26" i="25" s="1"/>
  <c r="U27" i="25" s="1"/>
  <c r="AI20" i="25"/>
  <c r="AN20" i="25" s="1"/>
  <c r="AF21" i="25" s="1"/>
  <c r="J14" i="19"/>
  <c r="W20" i="25"/>
  <c r="S20" i="25"/>
  <c r="AB15" i="25" l="1"/>
  <c r="N12" i="19"/>
  <c r="Y27" i="25"/>
  <c r="AB27" i="25" s="1"/>
  <c r="AJ21" i="25"/>
  <c r="AN21" i="25" s="1"/>
  <c r="AG22" i="25" s="1"/>
  <c r="J12" i="19"/>
  <c r="AB20" i="25"/>
  <c r="I10" i="19"/>
  <c r="B13" i="26"/>
  <c r="B14" i="26"/>
  <c r="B15" i="26"/>
  <c r="X16" i="25" l="1"/>
  <c r="T16" i="25"/>
  <c r="N10" i="19"/>
  <c r="AK22" i="25"/>
  <c r="AN22" i="25" s="1"/>
  <c r="T21" i="25"/>
  <c r="X21" i="25"/>
  <c r="K14" i="19"/>
  <c r="G14" i="19"/>
  <c r="M10" i="19"/>
  <c r="E7" i="19"/>
  <c r="F7" i="19"/>
  <c r="S8" i="25" s="1"/>
  <c r="G7" i="19"/>
  <c r="H7" i="19"/>
  <c r="I7" i="19"/>
  <c r="J7" i="19"/>
  <c r="K7" i="19"/>
  <c r="L7" i="19"/>
  <c r="M7" i="19"/>
  <c r="N7" i="19"/>
  <c r="E8" i="19"/>
  <c r="R8" i="25" s="1"/>
  <c r="F8" i="19"/>
  <c r="G8" i="19"/>
  <c r="T8" i="25" s="1"/>
  <c r="H8" i="19"/>
  <c r="U8" i="25" s="1"/>
  <c r="I8" i="19"/>
  <c r="V8" i="25" s="1"/>
  <c r="J8" i="19"/>
  <c r="W8" i="25" s="1"/>
  <c r="K8" i="19"/>
  <c r="X8" i="25" s="1"/>
  <c r="L8" i="19"/>
  <c r="Y8" i="25" s="1"/>
  <c r="M8" i="19"/>
  <c r="Z8" i="25" s="1"/>
  <c r="N8" i="19"/>
  <c r="AA8" i="25" s="1"/>
  <c r="A7" i="19"/>
  <c r="B7" i="19"/>
  <c r="A8" i="19"/>
  <c r="A9" i="19"/>
  <c r="B9" i="19"/>
  <c r="A10" i="19"/>
  <c r="B10" i="19"/>
  <c r="A11" i="19"/>
  <c r="B11" i="19"/>
  <c r="A12" i="19"/>
  <c r="B12" i="19"/>
  <c r="A13" i="19"/>
  <c r="B13" i="19"/>
  <c r="A14" i="19"/>
  <c r="B14" i="19"/>
  <c r="A15" i="19"/>
  <c r="B15" i="19"/>
  <c r="A16" i="19"/>
  <c r="B16" i="19"/>
  <c r="A17" i="19"/>
  <c r="B17" i="19"/>
  <c r="A18" i="19"/>
  <c r="B18" i="19"/>
  <c r="AZ16" i="25" l="1"/>
  <c r="F12" i="19"/>
  <c r="AN16" i="25"/>
  <c r="AB16" i="25"/>
  <c r="AB11" i="25"/>
  <c r="AB21" i="25"/>
  <c r="F14" i="19"/>
  <c r="G12" i="19"/>
  <c r="AB8" i="25"/>
  <c r="AK17" i="25" l="1"/>
  <c r="AG17" i="25"/>
  <c r="U17" i="25"/>
  <c r="Y17" i="25"/>
  <c r="AS17" i="25"/>
  <c r="AW17" i="25"/>
  <c r="Y12" i="25"/>
  <c r="U12" i="25"/>
  <c r="AN6" i="25"/>
  <c r="AK7" i="25" s="1"/>
  <c r="U22" i="25"/>
  <c r="Y22" i="25"/>
  <c r="K12" i="19"/>
  <c r="K10" i="19"/>
  <c r="H14" i="19" l="1"/>
  <c r="AZ17" i="25"/>
  <c r="AN17" i="25"/>
  <c r="AB12" i="25"/>
  <c r="AB17" i="25"/>
  <c r="AN7" i="25"/>
  <c r="L12" i="19"/>
  <c r="G10" i="19"/>
  <c r="AB6" i="25"/>
  <c r="AB22" i="25"/>
  <c r="L14" i="19"/>
  <c r="H12" i="19"/>
  <c r="B23" i="24"/>
  <c r="B22" i="24"/>
  <c r="F27" i="24"/>
  <c r="G27" i="24" s="1"/>
  <c r="U98" i="15" s="1"/>
  <c r="F24" i="24"/>
  <c r="G24" i="24" s="1"/>
  <c r="R98" i="15" s="1"/>
  <c r="J23" i="24"/>
  <c r="K23" i="24" s="1"/>
  <c r="J24" i="24"/>
  <c r="J19" i="24"/>
  <c r="K19" i="24" s="1"/>
  <c r="J20" i="24"/>
  <c r="J15" i="24"/>
  <c r="K15" i="24" s="1"/>
  <c r="I98" i="15" s="1"/>
  <c r="J16" i="24"/>
  <c r="K16" i="24" s="1"/>
  <c r="L98" i="15" s="1"/>
  <c r="J11" i="24"/>
  <c r="K11" i="24" s="1"/>
  <c r="J12" i="24"/>
  <c r="J7" i="24"/>
  <c r="K7" i="24" s="1"/>
  <c r="J8" i="24"/>
  <c r="J2" i="24"/>
  <c r="K2" i="24" s="1"/>
  <c r="J3" i="24"/>
  <c r="J4" i="24"/>
  <c r="K24" i="24" l="1"/>
  <c r="O97" i="15" s="1"/>
  <c r="Y7" i="25"/>
  <c r="L10" i="19" s="1"/>
  <c r="J10" i="19"/>
  <c r="K8" i="24"/>
  <c r="C97" i="15" s="1"/>
  <c r="K3" i="24"/>
  <c r="K4" i="24" s="1"/>
  <c r="U97" i="15" s="1"/>
  <c r="K20" i="24"/>
  <c r="O98" i="15" s="1"/>
  <c r="K12" i="24"/>
  <c r="F98" i="15" s="1"/>
  <c r="F18" i="24"/>
  <c r="G18" i="24" s="1"/>
  <c r="F19" i="24"/>
  <c r="F20" i="24"/>
  <c r="F21" i="24"/>
  <c r="F11" i="24"/>
  <c r="F12" i="24"/>
  <c r="F13" i="24"/>
  <c r="F14" i="24"/>
  <c r="F15" i="24"/>
  <c r="F10" i="24"/>
  <c r="G10" i="24" s="1"/>
  <c r="F3" i="24"/>
  <c r="F4" i="24"/>
  <c r="F5" i="24"/>
  <c r="F6" i="24"/>
  <c r="F7" i="24"/>
  <c r="F2" i="24"/>
  <c r="G2" i="24" s="1"/>
  <c r="B2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4" i="24"/>
  <c r="B3" i="24"/>
  <c r="C2" i="24"/>
  <c r="G3" i="24" l="1"/>
  <c r="G4" i="24" s="1"/>
  <c r="G5" i="24" s="1"/>
  <c r="G6" i="24" s="1"/>
  <c r="G7" i="24" s="1"/>
  <c r="L97" i="15" s="1"/>
  <c r="H10" i="19"/>
  <c r="AB7" i="25"/>
  <c r="C3" i="24"/>
  <c r="C4" i="24" s="1"/>
  <c r="C5" i="24" s="1"/>
  <c r="C6" i="24" s="1"/>
  <c r="C7" i="24" s="1"/>
  <c r="C8" i="24" s="1"/>
  <c r="C9" i="24" s="1"/>
  <c r="C10" i="24" s="1"/>
  <c r="C11" i="24" s="1"/>
  <c r="C12" i="24" s="1"/>
  <c r="C13" i="24" s="1"/>
  <c r="C14" i="24" s="1"/>
  <c r="C15" i="24" s="1"/>
  <c r="C16" i="24" s="1"/>
  <c r="C17" i="24" s="1"/>
  <c r="C18" i="24" s="1"/>
  <c r="C19" i="24" s="1"/>
  <c r="C20" i="24" s="1"/>
  <c r="C21" i="24" s="1"/>
  <c r="C22" i="24" s="1"/>
  <c r="C23" i="24" s="1"/>
  <c r="C24" i="24" s="1"/>
  <c r="I97" i="15" s="1"/>
  <c r="G19" i="24"/>
  <c r="G20" i="24" s="1"/>
  <c r="G21" i="24" s="1"/>
  <c r="F97" i="15" s="1"/>
  <c r="G11" i="24"/>
  <c r="G12" i="24" s="1"/>
  <c r="G13" i="24" s="1"/>
  <c r="G14" i="24" s="1"/>
  <c r="G15" i="24" s="1"/>
  <c r="R97" i="15" s="1"/>
  <c r="AF2" i="4"/>
  <c r="AF5" i="4"/>
  <c r="AF6" i="4"/>
  <c r="AF3" i="4"/>
  <c r="AF4" i="4"/>
  <c r="AP6" i="22" l="1"/>
  <c r="AI2" i="22"/>
  <c r="J41" i="4" l="1"/>
  <c r="C54" i="15" s="1"/>
  <c r="J40" i="4"/>
  <c r="C53" i="15" s="1"/>
  <c r="J39" i="4"/>
  <c r="J38" i="4"/>
  <c r="J37" i="4"/>
  <c r="J36" i="4"/>
  <c r="J35" i="4"/>
  <c r="I64" i="15" s="1"/>
  <c r="J34" i="4"/>
  <c r="J33" i="4"/>
  <c r="J32" i="4"/>
  <c r="I60" i="15" s="1"/>
  <c r="A41" i="4"/>
  <c r="A40" i="4"/>
  <c r="A39" i="4"/>
  <c r="A38" i="4"/>
  <c r="A37" i="4"/>
  <c r="A36" i="4"/>
  <c r="A35" i="4"/>
  <c r="A34" i="4"/>
  <c r="A33" i="4"/>
  <c r="A32" i="4"/>
  <c r="I65" i="15" l="1"/>
  <c r="F64" i="15"/>
  <c r="C46" i="15"/>
  <c r="I61" i="15"/>
  <c r="C65" i="15"/>
  <c r="I63" i="15"/>
  <c r="C47" i="15"/>
  <c r="C66" i="15"/>
  <c r="C51" i="15"/>
  <c r="C67" i="15"/>
  <c r="C52" i="15"/>
  <c r="C45" i="15"/>
  <c r="C64" i="15"/>
  <c r="F61" i="15"/>
  <c r="C63" i="15"/>
  <c r="F62" i="15"/>
  <c r="C61" i="15"/>
  <c r="F63" i="15"/>
  <c r="C60" i="15"/>
  <c r="AN7" i="22"/>
  <c r="AN8" i="22"/>
  <c r="AN9" i="22"/>
  <c r="AN10" i="22"/>
  <c r="AN11" i="22"/>
  <c r="AN12" i="22"/>
  <c r="AN13" i="22"/>
  <c r="AN14" i="22"/>
  <c r="AN15" i="22"/>
  <c r="AN16" i="22"/>
  <c r="AN17" i="22"/>
  <c r="AN18" i="22"/>
  <c r="AN19" i="22"/>
  <c r="AN20" i="22"/>
  <c r="AN24" i="22"/>
  <c r="AN25" i="22"/>
  <c r="AN26" i="22"/>
  <c r="AN27" i="22"/>
  <c r="AN28" i="22"/>
  <c r="AN29" i="22"/>
  <c r="AN30" i="22"/>
  <c r="AN31" i="22"/>
  <c r="AN32" i="22"/>
  <c r="AN33" i="22"/>
  <c r="AN34" i="22"/>
  <c r="AN35" i="22"/>
  <c r="AN36" i="22"/>
  <c r="AN37" i="22"/>
  <c r="AN41" i="22"/>
  <c r="AN42" i="22"/>
  <c r="AN43" i="22"/>
  <c r="AN44" i="22"/>
  <c r="AN45" i="22"/>
  <c r="AN46" i="22"/>
  <c r="AN47" i="22"/>
  <c r="AN48" i="22"/>
  <c r="AN49" i="22"/>
  <c r="AN50" i="22"/>
  <c r="AN51" i="22"/>
  <c r="AN52" i="22"/>
  <c r="AN53" i="22"/>
  <c r="AN57" i="22"/>
  <c r="AN58" i="22"/>
  <c r="AN59" i="22"/>
  <c r="AN60" i="22"/>
  <c r="AN61" i="22"/>
  <c r="AN62" i="22"/>
  <c r="AN63" i="22"/>
  <c r="AN64" i="22"/>
  <c r="AN65" i="22"/>
  <c r="AN66" i="22"/>
  <c r="AN67" i="22"/>
  <c r="AN68" i="22"/>
  <c r="AN69" i="22"/>
  <c r="AN70" i="22"/>
  <c r="AN71" i="22"/>
  <c r="AN72" i="22"/>
  <c r="AN73" i="22"/>
  <c r="AN74" i="22"/>
  <c r="AN75" i="22"/>
  <c r="AN76" i="22"/>
  <c r="AN77" i="22"/>
  <c r="AN78" i="22"/>
  <c r="AN79" i="22"/>
  <c r="AN80" i="22"/>
  <c r="AN81" i="22"/>
  <c r="AN85" i="22"/>
  <c r="AN86" i="22"/>
  <c r="AN87" i="22"/>
  <c r="AN88" i="22"/>
  <c r="AN89" i="22"/>
  <c r="AN90" i="22"/>
  <c r="AN91" i="22"/>
  <c r="AN92" i="22"/>
  <c r="AN93" i="22"/>
  <c r="AN94" i="22"/>
  <c r="AN95" i="22"/>
  <c r="AN96" i="22"/>
  <c r="AN97" i="22"/>
  <c r="AN101" i="22"/>
  <c r="AN102" i="22"/>
  <c r="AN103" i="22"/>
  <c r="AN104" i="22"/>
  <c r="AN105" i="22"/>
  <c r="AN106" i="22"/>
  <c r="AN107" i="22"/>
  <c r="AN108" i="22"/>
  <c r="AN109" i="22"/>
  <c r="AN110" i="22"/>
  <c r="AN111" i="22"/>
  <c r="AN112" i="22"/>
  <c r="AN113" i="22"/>
  <c r="AN114" i="22"/>
  <c r="AN115" i="22"/>
  <c r="AN116" i="22"/>
  <c r="AN117" i="22"/>
  <c r="AN118" i="22"/>
  <c r="AN119" i="22"/>
  <c r="AN120" i="22"/>
  <c r="AN121" i="22"/>
  <c r="AN122" i="22"/>
  <c r="AN123" i="22"/>
  <c r="AN124" i="22"/>
  <c r="AN125" i="22"/>
  <c r="AP7" i="22"/>
  <c r="AP8" i="22"/>
  <c r="AP9" i="22"/>
  <c r="AP10" i="22"/>
  <c r="AP11" i="22"/>
  <c r="AP12" i="22"/>
  <c r="AP13" i="22"/>
  <c r="AP14" i="22"/>
  <c r="AP15" i="22"/>
  <c r="AP16" i="22"/>
  <c r="AP17" i="22"/>
  <c r="AP18" i="22"/>
  <c r="AP19" i="22"/>
  <c r="AP20" i="22"/>
  <c r="AP24" i="22"/>
  <c r="AP25" i="22"/>
  <c r="AP26" i="22"/>
  <c r="AP27" i="22"/>
  <c r="AP28" i="22"/>
  <c r="AP29" i="22"/>
  <c r="AP30" i="22"/>
  <c r="AP31" i="22"/>
  <c r="AP32" i="22"/>
  <c r="AP33" i="22"/>
  <c r="AP34" i="22"/>
  <c r="AP35" i="22"/>
  <c r="AP36" i="22"/>
  <c r="AP37" i="22"/>
  <c r="AP41" i="22"/>
  <c r="AP42" i="22"/>
  <c r="AP43" i="22"/>
  <c r="AP44" i="22"/>
  <c r="AP45" i="22"/>
  <c r="AP46" i="22"/>
  <c r="AP47" i="22"/>
  <c r="AP48" i="22"/>
  <c r="AP49" i="22"/>
  <c r="AP50" i="22"/>
  <c r="AP51" i="22"/>
  <c r="AP52" i="22"/>
  <c r="AP53" i="22"/>
  <c r="AP57" i="22"/>
  <c r="AP58" i="22"/>
  <c r="AP59" i="22"/>
  <c r="AP60" i="22"/>
  <c r="AP61" i="22"/>
  <c r="AP62" i="22"/>
  <c r="AP63" i="22"/>
  <c r="AP64" i="22"/>
  <c r="AP65" i="22"/>
  <c r="AP66" i="22"/>
  <c r="AP67" i="22"/>
  <c r="AP68" i="22"/>
  <c r="AP69" i="22"/>
  <c r="AP70" i="22"/>
  <c r="AP71" i="22"/>
  <c r="AP72" i="22"/>
  <c r="AP73" i="22"/>
  <c r="AP74" i="22"/>
  <c r="AP75" i="22"/>
  <c r="AP76" i="22"/>
  <c r="AP77" i="22"/>
  <c r="AP78" i="22"/>
  <c r="AP79" i="22"/>
  <c r="AP80" i="22"/>
  <c r="AP81" i="22"/>
  <c r="AP85" i="22"/>
  <c r="AP86" i="22"/>
  <c r="AP87" i="22"/>
  <c r="AP88" i="22"/>
  <c r="AP89" i="22"/>
  <c r="AP90" i="22"/>
  <c r="AP91" i="22"/>
  <c r="AP92" i="22"/>
  <c r="AP93" i="22"/>
  <c r="AP94" i="22"/>
  <c r="AP95" i="22"/>
  <c r="AP96" i="22"/>
  <c r="AP97" i="22"/>
  <c r="AP101" i="22"/>
  <c r="AP102" i="22"/>
  <c r="AP103" i="22"/>
  <c r="AP104" i="22"/>
  <c r="AP105" i="22"/>
  <c r="AP106" i="22"/>
  <c r="AP107" i="22"/>
  <c r="AP108" i="22"/>
  <c r="AP109" i="22"/>
  <c r="AP110" i="22"/>
  <c r="AP111" i="22"/>
  <c r="AP112" i="22"/>
  <c r="AP113" i="22"/>
  <c r="AP114" i="22"/>
  <c r="AP115" i="22"/>
  <c r="AP116" i="22"/>
  <c r="AP117" i="22"/>
  <c r="AP118" i="22"/>
  <c r="AP119" i="22"/>
  <c r="AP120" i="22"/>
  <c r="AP121" i="22"/>
  <c r="AP122" i="22"/>
  <c r="AP123" i="22"/>
  <c r="AP124" i="22"/>
  <c r="AP125" i="22"/>
  <c r="AO6" i="22"/>
  <c r="AO7" i="22"/>
  <c r="AO8" i="22"/>
  <c r="AO9" i="22"/>
  <c r="AO10" i="22"/>
  <c r="AO11" i="22"/>
  <c r="AO12" i="22"/>
  <c r="AO13" i="22"/>
  <c r="AO14" i="22"/>
  <c r="AO15" i="22"/>
  <c r="AO16" i="22"/>
  <c r="AO17" i="22"/>
  <c r="AO18" i="22"/>
  <c r="AO19" i="22"/>
  <c r="AO20" i="22"/>
  <c r="AO24" i="22"/>
  <c r="AO25" i="22"/>
  <c r="AO26" i="22"/>
  <c r="AO27" i="22"/>
  <c r="AO28" i="22"/>
  <c r="AO29" i="22"/>
  <c r="AO30" i="22"/>
  <c r="AO31" i="22"/>
  <c r="AO32" i="22"/>
  <c r="AO33" i="22"/>
  <c r="AO34" i="22"/>
  <c r="AO35" i="22"/>
  <c r="AO36" i="22"/>
  <c r="AO37" i="22"/>
  <c r="AO41" i="22"/>
  <c r="AO42" i="22"/>
  <c r="AO43" i="22"/>
  <c r="AO44" i="22"/>
  <c r="AO45" i="22"/>
  <c r="AO46" i="22"/>
  <c r="AO47" i="22"/>
  <c r="AO48" i="22"/>
  <c r="AO49" i="22"/>
  <c r="AO50" i="22"/>
  <c r="AO51" i="22"/>
  <c r="AO52" i="22"/>
  <c r="AO53" i="22"/>
  <c r="AO57" i="22"/>
  <c r="AO58" i="22"/>
  <c r="AO59" i="22"/>
  <c r="AO60" i="22"/>
  <c r="AO61" i="22"/>
  <c r="AO62" i="22"/>
  <c r="AO63" i="22"/>
  <c r="AO64" i="22"/>
  <c r="AO65" i="22"/>
  <c r="AO66" i="22"/>
  <c r="AO67" i="22"/>
  <c r="AO68" i="22"/>
  <c r="AO69" i="22"/>
  <c r="AO70" i="22"/>
  <c r="AO71" i="22"/>
  <c r="AO72" i="22"/>
  <c r="AO73" i="22"/>
  <c r="AO74" i="22"/>
  <c r="AO75" i="22"/>
  <c r="AO76" i="22"/>
  <c r="AO77" i="22"/>
  <c r="AO78" i="22"/>
  <c r="AO79" i="22"/>
  <c r="AO80" i="22"/>
  <c r="AO81" i="22"/>
  <c r="AO85" i="22"/>
  <c r="AO86" i="22"/>
  <c r="AO87" i="22"/>
  <c r="AO88" i="22"/>
  <c r="AO89" i="22"/>
  <c r="AO90" i="22"/>
  <c r="AO91" i="22"/>
  <c r="AO92" i="22"/>
  <c r="AO93" i="22"/>
  <c r="AO94" i="22"/>
  <c r="AO95" i="22"/>
  <c r="AO96" i="22"/>
  <c r="AO97" i="22"/>
  <c r="AO101" i="22"/>
  <c r="AO102" i="22"/>
  <c r="AO103" i="22"/>
  <c r="AO104" i="22"/>
  <c r="AO105" i="22"/>
  <c r="AO106" i="22"/>
  <c r="AO107" i="22"/>
  <c r="AO108" i="22"/>
  <c r="AO109" i="22"/>
  <c r="AO110" i="22"/>
  <c r="AO111" i="22"/>
  <c r="AO112" i="22"/>
  <c r="AO113" i="22"/>
  <c r="AO114" i="22"/>
  <c r="AO115" i="22"/>
  <c r="AO116" i="22"/>
  <c r="AO117" i="22"/>
  <c r="AO118" i="22"/>
  <c r="AO119" i="22"/>
  <c r="AO120" i="22"/>
  <c r="AO121" i="22"/>
  <c r="AO122" i="22"/>
  <c r="AO123" i="22"/>
  <c r="AO124" i="22"/>
  <c r="AO125" i="22"/>
  <c r="AJ6" i="22"/>
  <c r="AN6" i="22" s="1"/>
  <c r="P10" i="4"/>
  <c r="AI6" i="22"/>
  <c r="F23" i="15"/>
  <c r="F22" i="15"/>
  <c r="F25" i="15"/>
  <c r="AB12" i="4" l="1"/>
  <c r="P12" i="4" s="1"/>
  <c r="AA8" i="4"/>
  <c r="O21" i="14" s="1"/>
  <c r="AJ16" i="4" s="1"/>
  <c r="AA7" i="4"/>
  <c r="O20" i="14" s="1"/>
  <c r="AJ15" i="4" s="1"/>
  <c r="R101" i="22"/>
  <c r="R102" i="22"/>
  <c r="R103" i="22"/>
  <c r="R104" i="22"/>
  <c r="R105" i="22"/>
  <c r="R106" i="22"/>
  <c r="R107" i="22"/>
  <c r="R108" i="22"/>
  <c r="R109" i="22"/>
  <c r="R110" i="22"/>
  <c r="R111" i="22"/>
  <c r="R112" i="22"/>
  <c r="R113" i="22"/>
  <c r="R114" i="22"/>
  <c r="R115" i="22"/>
  <c r="R116" i="22"/>
  <c r="R117" i="22"/>
  <c r="R118" i="22"/>
  <c r="R119" i="22"/>
  <c r="R120" i="22"/>
  <c r="R121" i="22"/>
  <c r="R122" i="22"/>
  <c r="R123" i="22"/>
  <c r="R124" i="22"/>
  <c r="R125" i="22"/>
  <c r="R99" i="17"/>
  <c r="R100" i="17"/>
  <c r="R101" i="17"/>
  <c r="R102" i="17"/>
  <c r="R103" i="17"/>
  <c r="R104" i="17"/>
  <c r="R98" i="17"/>
  <c r="P99" i="17"/>
  <c r="P100" i="17"/>
  <c r="P101" i="17"/>
  <c r="P102" i="17"/>
  <c r="P103" i="17"/>
  <c r="P104" i="17"/>
  <c r="P98" i="17"/>
  <c r="N99" i="17"/>
  <c r="N100" i="17"/>
  <c r="N101" i="17"/>
  <c r="N102" i="17"/>
  <c r="N103" i="17"/>
  <c r="N104" i="17"/>
  <c r="N98" i="17"/>
  <c r="N91" i="17"/>
  <c r="F21" i="4"/>
  <c r="L99" i="17"/>
  <c r="L100" i="17"/>
  <c r="L101" i="17"/>
  <c r="L102" i="17"/>
  <c r="L103" i="17"/>
  <c r="L104" i="17"/>
  <c r="L98" i="17"/>
  <c r="H30" i="4" s="1"/>
  <c r="J99" i="17"/>
  <c r="J100" i="17"/>
  <c r="J101" i="17"/>
  <c r="J102" i="17"/>
  <c r="J103" i="17"/>
  <c r="J104" i="17"/>
  <c r="J98" i="17"/>
  <c r="F99" i="17"/>
  <c r="F100" i="17"/>
  <c r="F101" i="17"/>
  <c r="F102" i="17"/>
  <c r="F103" i="17"/>
  <c r="F104" i="17"/>
  <c r="F98" i="17"/>
  <c r="B21" i="4" s="1"/>
  <c r="F91" i="17"/>
  <c r="I21" i="4" l="1"/>
  <c r="H21" i="4"/>
  <c r="G21" i="4"/>
  <c r="E21" i="4"/>
  <c r="D21" i="4"/>
  <c r="C21" i="4"/>
  <c r="A21" i="4"/>
  <c r="Y24" i="4" l="1"/>
  <c r="X24" i="4"/>
  <c r="W24" i="4"/>
  <c r="V24" i="4"/>
  <c r="S24" i="4"/>
  <c r="Z19" i="4"/>
  <c r="Y19" i="4"/>
  <c r="X19" i="4"/>
  <c r="W19" i="4"/>
  <c r="V19" i="4"/>
  <c r="S19" i="4"/>
  <c r="P19" i="4"/>
  <c r="J145" i="22"/>
  <c r="AB24" i="4" s="1"/>
  <c r="I145" i="22"/>
  <c r="AA24" i="4" s="1"/>
  <c r="H145" i="22"/>
  <c r="H146" i="22" s="1"/>
  <c r="H147" i="22" s="1"/>
  <c r="H148" i="22" s="1"/>
  <c r="H149" i="22" s="1"/>
  <c r="H150" i="22" s="1"/>
  <c r="H151" i="22" s="1"/>
  <c r="H152" i="22" s="1"/>
  <c r="H153" i="22" s="1"/>
  <c r="J146" i="22" l="1"/>
  <c r="J147" i="22" s="1"/>
  <c r="J148" i="22" s="1"/>
  <c r="J149" i="22" s="1"/>
  <c r="J150" i="22" s="1"/>
  <c r="J151" i="22" s="1"/>
  <c r="J152" i="22" s="1"/>
  <c r="J153" i="22" s="1"/>
  <c r="Z24" i="4"/>
  <c r="I146" i="22"/>
  <c r="I147" i="22" s="1"/>
  <c r="I148" i="22" s="1"/>
  <c r="I149" i="22" s="1"/>
  <c r="I150" i="22" s="1"/>
  <c r="I151" i="22" s="1"/>
  <c r="I152" i="22" s="1"/>
  <c r="I153" i="22" s="1"/>
  <c r="K131" i="22"/>
  <c r="K132" i="22" s="1"/>
  <c r="J131" i="22"/>
  <c r="J132" i="22" s="1"/>
  <c r="J133" i="22" l="1"/>
  <c r="J134" i="22" s="1"/>
  <c r="J135" i="22" s="1"/>
  <c r="J136" i="22" s="1"/>
  <c r="J137" i="22" s="1"/>
  <c r="J138" i="22" s="1"/>
  <c r="J139" i="22" s="1"/>
  <c r="AA19" i="4"/>
  <c r="K133" i="22"/>
  <c r="K134" i="22" s="1"/>
  <c r="K135" i="22" s="1"/>
  <c r="K136" i="22" s="1"/>
  <c r="K137" i="22" s="1"/>
  <c r="K138" i="22" s="1"/>
  <c r="K139" i="22" s="1"/>
  <c r="AB19" i="4"/>
  <c r="AC102" i="22"/>
  <c r="AC103" i="22"/>
  <c r="AC104" i="22"/>
  <c r="AC105" i="22"/>
  <c r="AC106" i="22"/>
  <c r="AC107" i="22"/>
  <c r="AC108" i="22"/>
  <c r="AC109" i="22"/>
  <c r="AC110" i="22"/>
  <c r="AC111" i="22"/>
  <c r="AC112" i="22"/>
  <c r="AC113" i="22"/>
  <c r="AC114" i="22"/>
  <c r="AC115" i="22"/>
  <c r="AC116" i="22"/>
  <c r="AC117" i="22"/>
  <c r="AC118" i="22"/>
  <c r="AC119" i="22"/>
  <c r="AC120" i="22"/>
  <c r="AC121" i="22"/>
  <c r="AC122" i="22"/>
  <c r="AC123" i="22"/>
  <c r="AC124" i="22"/>
  <c r="AC125" i="22"/>
  <c r="AC101" i="22"/>
  <c r="K102" i="22"/>
  <c r="K103" i="22"/>
  <c r="K104" i="22"/>
  <c r="K105" i="22"/>
  <c r="K106" i="22"/>
  <c r="K107" i="22"/>
  <c r="K108" i="22"/>
  <c r="K109" i="22"/>
  <c r="K110" i="22"/>
  <c r="K111" i="22"/>
  <c r="K112" i="22"/>
  <c r="K113" i="22"/>
  <c r="K114" i="22"/>
  <c r="K115" i="22"/>
  <c r="K116" i="22"/>
  <c r="K117" i="22"/>
  <c r="K118" i="22"/>
  <c r="K119" i="22"/>
  <c r="K120" i="22"/>
  <c r="K121" i="22"/>
  <c r="K122" i="22"/>
  <c r="K123" i="22"/>
  <c r="K124" i="22"/>
  <c r="K125" i="22"/>
  <c r="K101" i="22"/>
  <c r="AC86" i="22"/>
  <c r="AC87" i="22"/>
  <c r="AC88" i="22"/>
  <c r="AC89" i="22"/>
  <c r="AC90" i="22"/>
  <c r="AC91" i="22"/>
  <c r="AC92" i="22"/>
  <c r="AC93" i="22"/>
  <c r="AC94" i="22"/>
  <c r="AC95" i="22"/>
  <c r="AC96" i="22"/>
  <c r="AC97" i="22"/>
  <c r="AC85" i="22"/>
  <c r="K86" i="22"/>
  <c r="K87" i="22"/>
  <c r="K88" i="22"/>
  <c r="K89" i="22"/>
  <c r="K90" i="22"/>
  <c r="K91" i="22"/>
  <c r="K92" i="22"/>
  <c r="K93" i="22"/>
  <c r="K94" i="22"/>
  <c r="K95" i="22"/>
  <c r="K96" i="22"/>
  <c r="K97" i="22"/>
  <c r="K85" i="22"/>
  <c r="AC58" i="22"/>
  <c r="AC59" i="22"/>
  <c r="AC60" i="22"/>
  <c r="AC61" i="22"/>
  <c r="AC62" i="22"/>
  <c r="AC63" i="22"/>
  <c r="AC64" i="22"/>
  <c r="AC65" i="22"/>
  <c r="AC66" i="22"/>
  <c r="AC67" i="22"/>
  <c r="AC68" i="22"/>
  <c r="AC69" i="22"/>
  <c r="AC70" i="22"/>
  <c r="AC71" i="22"/>
  <c r="AC72" i="22"/>
  <c r="AC73" i="22"/>
  <c r="AC74" i="22"/>
  <c r="AC75" i="22"/>
  <c r="AC76" i="22"/>
  <c r="AC77" i="22"/>
  <c r="AC78" i="22"/>
  <c r="AC79" i="22"/>
  <c r="AC80" i="22"/>
  <c r="AC81" i="22"/>
  <c r="AC57" i="22"/>
  <c r="K58" i="22"/>
  <c r="K59" i="22"/>
  <c r="K60" i="22"/>
  <c r="K61" i="22"/>
  <c r="K62" i="22"/>
  <c r="K63" i="22"/>
  <c r="K64" i="22"/>
  <c r="K65" i="22"/>
  <c r="K66" i="22"/>
  <c r="K67" i="22"/>
  <c r="K68" i="22"/>
  <c r="K69" i="22"/>
  <c r="K70" i="22"/>
  <c r="K71" i="22"/>
  <c r="K72" i="22"/>
  <c r="K73" i="22"/>
  <c r="K74" i="22"/>
  <c r="K75" i="22"/>
  <c r="K76" i="22"/>
  <c r="K77" i="22"/>
  <c r="K78" i="22"/>
  <c r="K79" i="22"/>
  <c r="K80" i="22"/>
  <c r="K81" i="22"/>
  <c r="K57" i="22"/>
  <c r="AC42" i="22"/>
  <c r="AC43" i="22"/>
  <c r="AC44" i="22"/>
  <c r="AC45" i="22"/>
  <c r="AC46" i="22"/>
  <c r="AC47" i="22"/>
  <c r="AC48" i="22"/>
  <c r="AC49" i="22"/>
  <c r="AC50" i="22"/>
  <c r="AC51" i="22"/>
  <c r="AC52" i="22"/>
  <c r="AC53" i="22"/>
  <c r="AC41" i="22"/>
  <c r="K42" i="22"/>
  <c r="K43" i="22"/>
  <c r="K44" i="22"/>
  <c r="K45" i="22"/>
  <c r="K46" i="22"/>
  <c r="K47" i="22"/>
  <c r="K48" i="22"/>
  <c r="K49" i="22"/>
  <c r="K50" i="22"/>
  <c r="K51" i="22"/>
  <c r="K52" i="22"/>
  <c r="K53" i="22"/>
  <c r="K41" i="22"/>
  <c r="AC25" i="22"/>
  <c r="AC26" i="22"/>
  <c r="AC27" i="22"/>
  <c r="AC28" i="22"/>
  <c r="AC29" i="22"/>
  <c r="AC30" i="22"/>
  <c r="AC31" i="22"/>
  <c r="AC32" i="22"/>
  <c r="AC33" i="22"/>
  <c r="AC34" i="22"/>
  <c r="AC35" i="22"/>
  <c r="AC36" i="22"/>
  <c r="AC37" i="22"/>
  <c r="AC24" i="22"/>
  <c r="K25" i="22"/>
  <c r="K26" i="22"/>
  <c r="K27" i="22"/>
  <c r="K28" i="22"/>
  <c r="K29" i="22"/>
  <c r="K30" i="22"/>
  <c r="K31" i="22"/>
  <c r="K32" i="22"/>
  <c r="K33" i="22"/>
  <c r="K34" i="22"/>
  <c r="K35" i="22"/>
  <c r="K36" i="22"/>
  <c r="K37" i="22"/>
  <c r="K24" i="22"/>
  <c r="AI7" i="22"/>
  <c r="AI8" i="22"/>
  <c r="AI9" i="22"/>
  <c r="AI10" i="22"/>
  <c r="AI11" i="22"/>
  <c r="AI12" i="22"/>
  <c r="AI13" i="22"/>
  <c r="AI14" i="22"/>
  <c r="AI15" i="22"/>
  <c r="AI16" i="22"/>
  <c r="AI17" i="22"/>
  <c r="AI18" i="22"/>
  <c r="AI19" i="22"/>
  <c r="AI20" i="22"/>
  <c r="AI24" i="22"/>
  <c r="AI25" i="22"/>
  <c r="AI26" i="22"/>
  <c r="AI27" i="22"/>
  <c r="AI28" i="22"/>
  <c r="AI29" i="22"/>
  <c r="AI30" i="22"/>
  <c r="AI31" i="22"/>
  <c r="AI32" i="22"/>
  <c r="AI33" i="22"/>
  <c r="AI34" i="22"/>
  <c r="AI35" i="22"/>
  <c r="AI36" i="22"/>
  <c r="AI37" i="22"/>
  <c r="AI41" i="22"/>
  <c r="AI42" i="22"/>
  <c r="AI43" i="22"/>
  <c r="AI44" i="22"/>
  <c r="AI45" i="22"/>
  <c r="AI46" i="22"/>
  <c r="AI47" i="22"/>
  <c r="AI48" i="22"/>
  <c r="AI49" i="22"/>
  <c r="AI50" i="22"/>
  <c r="AI51" i="22"/>
  <c r="AI52" i="22"/>
  <c r="AI53" i="22"/>
  <c r="AI57" i="22"/>
  <c r="AI58" i="22"/>
  <c r="AI59" i="22"/>
  <c r="AI60" i="22"/>
  <c r="AI61" i="22"/>
  <c r="AI62" i="22"/>
  <c r="AI63" i="22"/>
  <c r="AI64" i="22"/>
  <c r="AI65" i="22"/>
  <c r="AI66" i="22"/>
  <c r="AI67" i="22"/>
  <c r="AI68" i="22"/>
  <c r="AI69" i="22"/>
  <c r="AI70" i="22"/>
  <c r="AI71" i="22"/>
  <c r="AI72" i="22"/>
  <c r="AI73" i="22"/>
  <c r="AI74" i="22"/>
  <c r="AI75" i="22"/>
  <c r="AI76" i="22"/>
  <c r="AI77" i="22"/>
  <c r="AI78" i="22"/>
  <c r="AI79" i="22"/>
  <c r="AI80" i="22"/>
  <c r="AI81" i="22"/>
  <c r="AI85" i="22"/>
  <c r="AI86" i="22"/>
  <c r="AI87" i="22"/>
  <c r="AI88" i="22"/>
  <c r="AI89" i="22"/>
  <c r="AI90" i="22"/>
  <c r="AI91" i="22"/>
  <c r="AI92" i="22"/>
  <c r="AI93" i="22"/>
  <c r="AI94" i="22"/>
  <c r="AI95" i="22"/>
  <c r="AI96" i="22"/>
  <c r="AI97" i="22"/>
  <c r="AI101" i="22"/>
  <c r="AI102" i="22"/>
  <c r="AI103" i="22"/>
  <c r="AI104" i="22"/>
  <c r="AI105" i="22"/>
  <c r="AI106" i="22"/>
  <c r="AI107" i="22"/>
  <c r="AI108" i="22"/>
  <c r="AI109" i="22"/>
  <c r="AI110" i="22"/>
  <c r="AI111" i="22"/>
  <c r="AI112" i="22"/>
  <c r="AI113" i="22"/>
  <c r="AI114" i="22"/>
  <c r="AI115" i="22"/>
  <c r="AI116" i="22"/>
  <c r="AI117" i="22"/>
  <c r="AI118" i="22"/>
  <c r="AI119" i="22"/>
  <c r="AI120" i="22"/>
  <c r="AI121" i="22"/>
  <c r="AI122" i="22"/>
  <c r="AI123" i="22"/>
  <c r="AI124" i="22"/>
  <c r="AI125" i="22"/>
  <c r="AA6" i="22"/>
  <c r="AA7" i="22"/>
  <c r="AA8" i="22"/>
  <c r="AA9" i="22"/>
  <c r="AA10" i="22"/>
  <c r="AA11" i="22"/>
  <c r="AA12" i="22"/>
  <c r="AA13" i="22"/>
  <c r="AA14" i="22"/>
  <c r="AA15" i="22"/>
  <c r="AA16" i="22"/>
  <c r="AA17" i="22"/>
  <c r="AA18" i="22"/>
  <c r="AA19" i="22"/>
  <c r="AA20" i="22"/>
  <c r="AA41" i="22"/>
  <c r="AA42" i="22"/>
  <c r="AA43" i="22"/>
  <c r="AA44" i="22"/>
  <c r="AA45" i="22"/>
  <c r="AA46" i="22"/>
  <c r="AA47" i="22"/>
  <c r="AA48" i="22"/>
  <c r="AA49" i="22"/>
  <c r="AA50" i="22"/>
  <c r="AA51" i="22"/>
  <c r="AA52" i="22"/>
  <c r="AA53" i="22"/>
  <c r="AA101" i="22"/>
  <c r="AA102" i="22"/>
  <c r="AA103" i="22"/>
  <c r="AA104" i="22"/>
  <c r="AA105" i="22"/>
  <c r="AA106" i="22"/>
  <c r="AA107" i="22"/>
  <c r="AA108" i="22"/>
  <c r="AA109" i="22"/>
  <c r="AA110" i="22"/>
  <c r="AA111" i="22"/>
  <c r="AA112" i="22"/>
  <c r="AA113" i="22"/>
  <c r="AA114" i="22"/>
  <c r="AA115" i="22"/>
  <c r="AA116" i="22"/>
  <c r="AA117" i="22"/>
  <c r="AA118" i="22"/>
  <c r="AA119" i="22"/>
  <c r="AA120" i="22"/>
  <c r="AA121" i="22"/>
  <c r="AA122" i="22"/>
  <c r="AA123" i="22"/>
  <c r="AA124" i="22"/>
  <c r="AA125" i="22"/>
  <c r="Z6" i="22"/>
  <c r="Z7" i="22"/>
  <c r="Z8" i="22"/>
  <c r="Z9" i="22"/>
  <c r="Z10" i="22"/>
  <c r="Z11" i="22"/>
  <c r="Z12" i="22"/>
  <c r="Z13" i="22"/>
  <c r="Z14" i="22"/>
  <c r="Z15" i="22"/>
  <c r="Z16" i="22"/>
  <c r="Z17" i="22"/>
  <c r="Z18" i="22"/>
  <c r="Z19" i="22"/>
  <c r="Z20" i="22"/>
  <c r="Z41" i="22"/>
  <c r="Z42" i="22"/>
  <c r="Z43" i="22"/>
  <c r="Z44" i="22"/>
  <c r="Z45" i="22"/>
  <c r="Z46" i="22"/>
  <c r="Z47" i="22"/>
  <c r="Y6" i="22"/>
  <c r="Y7" i="22"/>
  <c r="Y8" i="22"/>
  <c r="Y9" i="22"/>
  <c r="Y10" i="22"/>
  <c r="Y11" i="22"/>
  <c r="Y12" i="22"/>
  <c r="Y13" i="22"/>
  <c r="Y14" i="22"/>
  <c r="Y15" i="22"/>
  <c r="Y16" i="22"/>
  <c r="Y17" i="22"/>
  <c r="Y18" i="22"/>
  <c r="Y19" i="22"/>
  <c r="Y20" i="22"/>
  <c r="R6" i="22"/>
  <c r="R7" i="22"/>
  <c r="R8" i="22"/>
  <c r="R9" i="22"/>
  <c r="R10" i="22"/>
  <c r="R11" i="22"/>
  <c r="R12" i="22"/>
  <c r="R13" i="22"/>
  <c r="R14" i="22"/>
  <c r="R15" i="22"/>
  <c r="R16" i="22"/>
  <c r="R17" i="22"/>
  <c r="R18" i="22"/>
  <c r="R19" i="22"/>
  <c r="R20" i="22"/>
  <c r="R41" i="22"/>
  <c r="R42" i="22"/>
  <c r="R43" i="22"/>
  <c r="R44" i="22"/>
  <c r="R45" i="22"/>
  <c r="R46" i="22"/>
  <c r="R47" i="22"/>
  <c r="R48" i="22"/>
  <c r="R49" i="22"/>
  <c r="R50" i="22"/>
  <c r="R51" i="22"/>
  <c r="R52" i="22"/>
  <c r="R53" i="22"/>
  <c r="Q6" i="22"/>
  <c r="Q7" i="22"/>
  <c r="Q8" i="22"/>
  <c r="Q9" i="22"/>
  <c r="Q10" i="22"/>
  <c r="Q11" i="22"/>
  <c r="Q12" i="22"/>
  <c r="Q13" i="22"/>
  <c r="Q14" i="22"/>
  <c r="Q15" i="22"/>
  <c r="Q16" i="22"/>
  <c r="Q17" i="22"/>
  <c r="Q18" i="22"/>
  <c r="Q19" i="22"/>
  <c r="Q20" i="22"/>
  <c r="Q41" i="22"/>
  <c r="Q42" i="22"/>
  <c r="Q43" i="22"/>
  <c r="Q44" i="22"/>
  <c r="Q45" i="22"/>
  <c r="Q46" i="22"/>
  <c r="Q47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L24" i="22" l="1"/>
  <c r="L33" i="22"/>
  <c r="L37" i="22"/>
  <c r="L29" i="22"/>
  <c r="L25" i="22"/>
  <c r="L34" i="22"/>
  <c r="L30" i="22"/>
  <c r="L26" i="22"/>
  <c r="L36" i="22"/>
  <c r="L32" i="22"/>
  <c r="L28" i="22"/>
  <c r="L35" i="22"/>
  <c r="L31" i="22"/>
  <c r="L27" i="22"/>
  <c r="AC7" i="22"/>
  <c r="AC8" i="22"/>
  <c r="AC9" i="22"/>
  <c r="AC10" i="22"/>
  <c r="AC11" i="22"/>
  <c r="AC12" i="22"/>
  <c r="AC13" i="22"/>
  <c r="AC14" i="22"/>
  <c r="AC15" i="22"/>
  <c r="AC16" i="22"/>
  <c r="AC17" i="22"/>
  <c r="AC18" i="22"/>
  <c r="AC19" i="22"/>
  <c r="AC20" i="22"/>
  <c r="AC6" i="22"/>
  <c r="K7" i="22"/>
  <c r="L7" i="22" s="1"/>
  <c r="K8" i="22"/>
  <c r="L8" i="22" s="1"/>
  <c r="K9" i="22"/>
  <c r="L9" i="22" s="1"/>
  <c r="K10" i="22"/>
  <c r="L10" i="22" s="1"/>
  <c r="K11" i="22"/>
  <c r="L11" i="22" s="1"/>
  <c r="K12" i="22"/>
  <c r="L12" i="22" s="1"/>
  <c r="K13" i="22"/>
  <c r="L13" i="22" s="1"/>
  <c r="K14" i="22"/>
  <c r="L14" i="22" s="1"/>
  <c r="K15" i="22"/>
  <c r="L15" i="22" s="1"/>
  <c r="K16" i="22"/>
  <c r="L16" i="22" s="1"/>
  <c r="K17" i="22"/>
  <c r="L17" i="22" s="1"/>
  <c r="K18" i="22"/>
  <c r="L18" i="22" s="1"/>
  <c r="K19" i="22"/>
  <c r="L19" i="22" s="1"/>
  <c r="K20" i="22"/>
  <c r="L20" i="22" s="1"/>
  <c r="K6" i="22"/>
  <c r="L6" i="22" s="1"/>
  <c r="H6" i="22"/>
  <c r="H7" i="22"/>
  <c r="H8" i="22"/>
  <c r="H9" i="22"/>
  <c r="H10" i="22"/>
  <c r="H11" i="22"/>
  <c r="H13" i="22"/>
  <c r="H14" i="22"/>
  <c r="H15" i="22"/>
  <c r="H16" i="22"/>
  <c r="H17" i="22"/>
  <c r="H18" i="22"/>
  <c r="H19" i="22"/>
  <c r="H20" i="22"/>
  <c r="G7" i="22"/>
  <c r="G8" i="22"/>
  <c r="G9" i="22"/>
  <c r="G10" i="22"/>
  <c r="G11" i="22"/>
  <c r="G13" i="22"/>
  <c r="G14" i="22"/>
  <c r="G15" i="22"/>
  <c r="G16" i="22"/>
  <c r="G17" i="22"/>
  <c r="G18" i="22"/>
  <c r="G19" i="22"/>
  <c r="G20" i="22"/>
  <c r="G6" i="22"/>
  <c r="I7" i="22"/>
  <c r="J7" i="22" s="1"/>
  <c r="I8" i="22"/>
  <c r="J8" i="22" s="1"/>
  <c r="I9" i="22"/>
  <c r="J9" i="22" s="1"/>
  <c r="I10" i="22"/>
  <c r="J10" i="22" s="1"/>
  <c r="I11" i="22"/>
  <c r="J11" i="22" s="1"/>
  <c r="I12" i="22"/>
  <c r="J12" i="22" s="1"/>
  <c r="I13" i="22"/>
  <c r="J13" i="22" s="1"/>
  <c r="I14" i="22"/>
  <c r="J14" i="22" s="1"/>
  <c r="I15" i="22"/>
  <c r="J15" i="22" s="1"/>
  <c r="I16" i="22"/>
  <c r="J16" i="22" s="1"/>
  <c r="I17" i="22"/>
  <c r="J17" i="22" s="1"/>
  <c r="I18" i="22"/>
  <c r="J18" i="22" s="1"/>
  <c r="I19" i="22"/>
  <c r="J19" i="22" s="1"/>
  <c r="I20" i="22"/>
  <c r="J20" i="22" s="1"/>
  <c r="I6" i="22"/>
  <c r="J6" i="22" s="1"/>
  <c r="N67" i="17" l="1"/>
  <c r="N68" i="17"/>
  <c r="N69" i="17"/>
  <c r="N70" i="17"/>
  <c r="N71" i="17"/>
  <c r="N72" i="17"/>
  <c r="N73" i="17"/>
  <c r="N75" i="17"/>
  <c r="N76" i="17"/>
  <c r="N77" i="17"/>
  <c r="N78" i="17"/>
  <c r="N79" i="17"/>
  <c r="N80" i="17"/>
  <c r="N81" i="17"/>
  <c r="N82" i="17"/>
  <c r="N84" i="17"/>
  <c r="N85" i="17"/>
  <c r="N86" i="17"/>
  <c r="N87" i="17"/>
  <c r="N88" i="17"/>
  <c r="N89" i="17"/>
  <c r="N90" i="17"/>
  <c r="N93" i="17"/>
  <c r="N66" i="17"/>
  <c r="S67" i="17"/>
  <c r="S68" i="17"/>
  <c r="S69" i="17"/>
  <c r="S70" i="17"/>
  <c r="S71" i="17"/>
  <c r="S72" i="17"/>
  <c r="S73" i="17"/>
  <c r="S75" i="17"/>
  <c r="S76" i="17"/>
  <c r="S77" i="17"/>
  <c r="S78" i="17"/>
  <c r="S79" i="17"/>
  <c r="S80" i="17"/>
  <c r="S81" i="17"/>
  <c r="S82" i="17"/>
  <c r="S84" i="17"/>
  <c r="S85" i="17"/>
  <c r="S86" i="17"/>
  <c r="S87" i="17"/>
  <c r="S88" i="17"/>
  <c r="S89" i="17"/>
  <c r="S90" i="17"/>
  <c r="S91" i="17"/>
  <c r="S93" i="17"/>
  <c r="S66" i="17"/>
  <c r="U67" i="17"/>
  <c r="U68" i="17"/>
  <c r="U69" i="17"/>
  <c r="U70" i="17"/>
  <c r="U71" i="17"/>
  <c r="U72" i="17"/>
  <c r="U73" i="17"/>
  <c r="U75" i="17"/>
  <c r="U76" i="17"/>
  <c r="U77" i="17"/>
  <c r="U78" i="17"/>
  <c r="U79" i="17"/>
  <c r="U80" i="17"/>
  <c r="U81" i="17"/>
  <c r="U82" i="17"/>
  <c r="U84" i="17"/>
  <c r="U85" i="17"/>
  <c r="U86" i="17"/>
  <c r="U87" i="17"/>
  <c r="U88" i="17"/>
  <c r="U89" i="17"/>
  <c r="U90" i="17"/>
  <c r="U91" i="17"/>
  <c r="U93" i="17"/>
  <c r="U66" i="17"/>
  <c r="R67" i="17" l="1"/>
  <c r="R68" i="17"/>
  <c r="R69" i="17"/>
  <c r="R70" i="17"/>
  <c r="R71" i="17"/>
  <c r="R72" i="17"/>
  <c r="R73" i="17"/>
  <c r="R75" i="17"/>
  <c r="R76" i="17"/>
  <c r="R77" i="17"/>
  <c r="R78" i="17"/>
  <c r="R79" i="17"/>
  <c r="R80" i="17"/>
  <c r="R81" i="17"/>
  <c r="R82" i="17"/>
  <c r="R84" i="17"/>
  <c r="R85" i="17"/>
  <c r="R86" i="17"/>
  <c r="R87" i="17"/>
  <c r="R88" i="17"/>
  <c r="R89" i="17"/>
  <c r="R90" i="17"/>
  <c r="R91" i="17"/>
  <c r="R93" i="17"/>
  <c r="R66" i="17"/>
  <c r="U36" i="17"/>
  <c r="U37" i="17"/>
  <c r="U38" i="17"/>
  <c r="U39" i="17"/>
  <c r="U40" i="17"/>
  <c r="U41" i="17"/>
  <c r="U42" i="17"/>
  <c r="U44" i="17"/>
  <c r="U45" i="17"/>
  <c r="U46" i="17"/>
  <c r="U47" i="17"/>
  <c r="U48" i="17"/>
  <c r="U49" i="17"/>
  <c r="U50" i="17"/>
  <c r="U51" i="17"/>
  <c r="U53" i="17"/>
  <c r="U54" i="17"/>
  <c r="U55" i="17"/>
  <c r="U56" i="17"/>
  <c r="U57" i="17"/>
  <c r="U58" i="17"/>
  <c r="U59" i="17"/>
  <c r="U60" i="17"/>
  <c r="U62" i="17"/>
  <c r="U35" i="17"/>
  <c r="S36" i="17"/>
  <c r="S37" i="17"/>
  <c r="S38" i="17"/>
  <c r="S39" i="17"/>
  <c r="S40" i="17"/>
  <c r="S41" i="17"/>
  <c r="S42" i="17"/>
  <c r="S44" i="17"/>
  <c r="S45" i="17"/>
  <c r="S46" i="17"/>
  <c r="S47" i="17"/>
  <c r="S48" i="17"/>
  <c r="S49" i="17"/>
  <c r="S50" i="17"/>
  <c r="S51" i="17"/>
  <c r="S53" i="17"/>
  <c r="S54" i="17"/>
  <c r="S55" i="17"/>
  <c r="S56" i="17"/>
  <c r="S57" i="17"/>
  <c r="S58" i="17"/>
  <c r="S59" i="17"/>
  <c r="S60" i="17"/>
  <c r="S62" i="17"/>
  <c r="S35" i="17"/>
  <c r="U5" i="17"/>
  <c r="U6" i="17"/>
  <c r="U7" i="17"/>
  <c r="U8" i="17"/>
  <c r="U9" i="17"/>
  <c r="U10" i="17"/>
  <c r="U11" i="17"/>
  <c r="U13" i="17"/>
  <c r="U14" i="17"/>
  <c r="U15" i="17"/>
  <c r="U16" i="17"/>
  <c r="U17" i="17"/>
  <c r="U18" i="17"/>
  <c r="U19" i="17"/>
  <c r="U20" i="17"/>
  <c r="U22" i="17"/>
  <c r="U23" i="17"/>
  <c r="U24" i="17"/>
  <c r="U25" i="17"/>
  <c r="U26" i="17"/>
  <c r="U27" i="17"/>
  <c r="U28" i="17"/>
  <c r="U29" i="17"/>
  <c r="U31" i="17"/>
  <c r="U4" i="17"/>
  <c r="S5" i="17"/>
  <c r="S6" i="17"/>
  <c r="S7" i="17"/>
  <c r="S8" i="17"/>
  <c r="S9" i="17"/>
  <c r="S10" i="17"/>
  <c r="S11" i="17"/>
  <c r="S13" i="17"/>
  <c r="S14" i="17"/>
  <c r="S15" i="17"/>
  <c r="S16" i="17"/>
  <c r="S17" i="17"/>
  <c r="S18" i="17"/>
  <c r="S19" i="17"/>
  <c r="S20" i="17"/>
  <c r="S22" i="17"/>
  <c r="S23" i="17"/>
  <c r="S24" i="17"/>
  <c r="S25" i="17"/>
  <c r="S26" i="17"/>
  <c r="S27" i="17"/>
  <c r="S28" i="17"/>
  <c r="S29" i="17"/>
  <c r="S31" i="17"/>
  <c r="S4" i="17"/>
  <c r="Q67" i="17"/>
  <c r="Q68" i="17"/>
  <c r="Q69" i="17"/>
  <c r="Q70" i="17"/>
  <c r="Q71" i="17"/>
  <c r="Q72" i="17"/>
  <c r="Q73" i="17"/>
  <c r="Q75" i="17"/>
  <c r="Q76" i="17"/>
  <c r="Q77" i="17"/>
  <c r="Q78" i="17"/>
  <c r="Q79" i="17"/>
  <c r="Q80" i="17"/>
  <c r="Q81" i="17"/>
  <c r="Q82" i="17"/>
  <c r="Q84" i="17"/>
  <c r="Q85" i="17"/>
  <c r="Q86" i="17"/>
  <c r="Q87" i="17"/>
  <c r="Q88" i="17"/>
  <c r="Q89" i="17"/>
  <c r="Q90" i="17"/>
  <c r="Q91" i="17"/>
  <c r="Q93" i="17"/>
  <c r="Q66" i="17"/>
  <c r="M30" i="4" l="1"/>
  <c r="J30" i="4"/>
  <c r="Q36" i="17"/>
  <c r="Q37" i="17"/>
  <c r="Q38" i="17"/>
  <c r="Q39" i="17"/>
  <c r="Q40" i="17"/>
  <c r="Q41" i="17"/>
  <c r="Q42" i="17"/>
  <c r="Q44" i="17"/>
  <c r="Q45" i="17"/>
  <c r="Q46" i="17"/>
  <c r="Q47" i="17"/>
  <c r="Q48" i="17"/>
  <c r="Q49" i="17"/>
  <c r="Q50" i="17"/>
  <c r="Q51" i="17"/>
  <c r="Q53" i="17"/>
  <c r="Q54" i="17"/>
  <c r="Q55" i="17"/>
  <c r="Q56" i="17"/>
  <c r="Q57" i="17"/>
  <c r="Q58" i="17"/>
  <c r="Q59" i="17"/>
  <c r="Q60" i="17"/>
  <c r="Q62" i="17"/>
  <c r="Q35" i="17"/>
  <c r="Q5" i="17"/>
  <c r="Q6" i="17"/>
  <c r="Q7" i="17"/>
  <c r="Q8" i="17"/>
  <c r="Q9" i="17"/>
  <c r="Q10" i="17"/>
  <c r="Q11" i="17"/>
  <c r="Q13" i="17"/>
  <c r="Q14" i="17"/>
  <c r="Q15" i="17"/>
  <c r="Q16" i="17"/>
  <c r="Q17" i="17"/>
  <c r="Q18" i="17"/>
  <c r="Q19" i="17"/>
  <c r="Q20" i="17"/>
  <c r="Q22" i="17"/>
  <c r="Q23" i="17"/>
  <c r="Q24" i="17"/>
  <c r="Q25" i="17"/>
  <c r="Q26" i="17"/>
  <c r="Q27" i="17"/>
  <c r="Q28" i="17"/>
  <c r="Q29" i="17"/>
  <c r="Q31" i="17"/>
  <c r="Q4" i="17"/>
  <c r="I30" i="4" l="1"/>
  <c r="I6" i="4"/>
  <c r="N36" i="17"/>
  <c r="N37" i="17"/>
  <c r="N38" i="17"/>
  <c r="N39" i="17"/>
  <c r="N40" i="17"/>
  <c r="N41" i="17"/>
  <c r="N42" i="17"/>
  <c r="N44" i="17"/>
  <c r="N45" i="17"/>
  <c r="N46" i="17"/>
  <c r="N47" i="17"/>
  <c r="N48" i="17"/>
  <c r="N49" i="17"/>
  <c r="N50" i="17"/>
  <c r="N51" i="17"/>
  <c r="N53" i="17"/>
  <c r="N54" i="17"/>
  <c r="N55" i="17"/>
  <c r="N56" i="17"/>
  <c r="N57" i="17"/>
  <c r="N58" i="17"/>
  <c r="N59" i="17"/>
  <c r="N60" i="17"/>
  <c r="N62" i="17"/>
  <c r="N35" i="17"/>
  <c r="N5" i="17" l="1"/>
  <c r="N6" i="17"/>
  <c r="N7" i="17"/>
  <c r="N8" i="17"/>
  <c r="N9" i="17"/>
  <c r="N10" i="17"/>
  <c r="N11" i="17"/>
  <c r="N13" i="17"/>
  <c r="N14" i="17"/>
  <c r="N15" i="17"/>
  <c r="N16" i="17"/>
  <c r="N17" i="17"/>
  <c r="N18" i="17"/>
  <c r="N19" i="17"/>
  <c r="N20" i="17"/>
  <c r="N22" i="17"/>
  <c r="N23" i="17"/>
  <c r="N24" i="17"/>
  <c r="N25" i="17"/>
  <c r="N26" i="17"/>
  <c r="N27" i="17"/>
  <c r="N28" i="17"/>
  <c r="N29" i="17"/>
  <c r="N31" i="17"/>
  <c r="N4" i="17"/>
  <c r="F67" i="17"/>
  <c r="F68" i="17"/>
  <c r="F69" i="17"/>
  <c r="F70" i="17"/>
  <c r="F71" i="17"/>
  <c r="F72" i="17"/>
  <c r="F73" i="17"/>
  <c r="F75" i="17"/>
  <c r="F76" i="17"/>
  <c r="F77" i="17"/>
  <c r="F78" i="17"/>
  <c r="F79" i="17"/>
  <c r="F80" i="17"/>
  <c r="F81" i="17"/>
  <c r="F82" i="17"/>
  <c r="F84" i="17"/>
  <c r="F85" i="17"/>
  <c r="F86" i="17"/>
  <c r="F87" i="17"/>
  <c r="F88" i="17"/>
  <c r="F89" i="17"/>
  <c r="F90" i="17"/>
  <c r="F93" i="17"/>
  <c r="F66" i="17"/>
  <c r="F36" i="17"/>
  <c r="F37" i="17"/>
  <c r="F38" i="17"/>
  <c r="F39" i="17"/>
  <c r="F40" i="17"/>
  <c r="F41" i="17"/>
  <c r="F42" i="17"/>
  <c r="F44" i="17"/>
  <c r="F45" i="17"/>
  <c r="F46" i="17"/>
  <c r="F47" i="17"/>
  <c r="F48" i="17"/>
  <c r="F49" i="17"/>
  <c r="F50" i="17"/>
  <c r="F51" i="17"/>
  <c r="F53" i="17"/>
  <c r="F54" i="17"/>
  <c r="F55" i="17"/>
  <c r="F56" i="17"/>
  <c r="F57" i="17"/>
  <c r="F58" i="17"/>
  <c r="F59" i="17"/>
  <c r="F60" i="17"/>
  <c r="F62" i="17"/>
  <c r="F35" i="17"/>
  <c r="F6" i="17"/>
  <c r="F7" i="17"/>
  <c r="F8" i="17"/>
  <c r="F9" i="17"/>
  <c r="F10" i="17"/>
  <c r="F11" i="17"/>
  <c r="F13" i="17"/>
  <c r="F14" i="17"/>
  <c r="F15" i="17"/>
  <c r="F16" i="17"/>
  <c r="F17" i="17"/>
  <c r="F18" i="17"/>
  <c r="F19" i="17"/>
  <c r="F20" i="17"/>
  <c r="F22" i="17"/>
  <c r="F23" i="17"/>
  <c r="F24" i="17"/>
  <c r="F25" i="17"/>
  <c r="F26" i="17"/>
  <c r="F27" i="17"/>
  <c r="F28" i="17"/>
  <c r="F29" i="17"/>
  <c r="F31" i="17"/>
  <c r="F4" i="17"/>
  <c r="J67" i="17"/>
  <c r="J68" i="17"/>
  <c r="J69" i="17"/>
  <c r="J70" i="17"/>
  <c r="J71" i="17"/>
  <c r="J72" i="17"/>
  <c r="J73" i="17"/>
  <c r="J75" i="17"/>
  <c r="J76" i="17"/>
  <c r="J77" i="17"/>
  <c r="J78" i="17"/>
  <c r="J79" i="17"/>
  <c r="J80" i="17"/>
  <c r="J81" i="17"/>
  <c r="J82" i="17"/>
  <c r="J84" i="17"/>
  <c r="J85" i="17"/>
  <c r="J86" i="17"/>
  <c r="J87" i="17"/>
  <c r="J88" i="17"/>
  <c r="J89" i="17"/>
  <c r="J90" i="17"/>
  <c r="J91" i="17"/>
  <c r="J93" i="17"/>
  <c r="J66" i="17"/>
  <c r="J36" i="17"/>
  <c r="J37" i="17"/>
  <c r="J38" i="17"/>
  <c r="J39" i="17"/>
  <c r="J40" i="17"/>
  <c r="J41" i="17"/>
  <c r="J42" i="17"/>
  <c r="J44" i="17"/>
  <c r="J45" i="17"/>
  <c r="J46" i="17"/>
  <c r="J47" i="17"/>
  <c r="J48" i="17"/>
  <c r="J49" i="17"/>
  <c r="J50" i="17"/>
  <c r="J51" i="17"/>
  <c r="J53" i="17"/>
  <c r="J54" i="17"/>
  <c r="J55" i="17"/>
  <c r="J56" i="17"/>
  <c r="J57" i="17"/>
  <c r="J58" i="17"/>
  <c r="J59" i="17"/>
  <c r="J60" i="17"/>
  <c r="J62" i="17"/>
  <c r="J35" i="17"/>
  <c r="J4" i="17"/>
  <c r="J5" i="17"/>
  <c r="J6" i="17"/>
  <c r="J7" i="17"/>
  <c r="J8" i="17"/>
  <c r="J9" i="17"/>
  <c r="J10" i="17"/>
  <c r="J11" i="17"/>
  <c r="J13" i="17"/>
  <c r="J14" i="17"/>
  <c r="J15" i="17"/>
  <c r="J16" i="17"/>
  <c r="J17" i="17"/>
  <c r="J18" i="17"/>
  <c r="J19" i="17"/>
  <c r="J20" i="17"/>
  <c r="J22" i="17"/>
  <c r="J23" i="17"/>
  <c r="J24" i="17"/>
  <c r="J25" i="17"/>
  <c r="J26" i="17"/>
  <c r="J27" i="17"/>
  <c r="J28" i="17"/>
  <c r="J29" i="17"/>
  <c r="J31" i="17"/>
  <c r="D4" i="17"/>
  <c r="L67" i="17"/>
  <c r="L68" i="17"/>
  <c r="L69" i="17"/>
  <c r="L70" i="17"/>
  <c r="L71" i="17"/>
  <c r="L72" i="17"/>
  <c r="L73" i="17"/>
  <c r="L75" i="17"/>
  <c r="L76" i="17"/>
  <c r="L77" i="17"/>
  <c r="L78" i="17"/>
  <c r="L79" i="17"/>
  <c r="L80" i="17"/>
  <c r="L81" i="17"/>
  <c r="L82" i="17"/>
  <c r="L84" i="17"/>
  <c r="L85" i="17"/>
  <c r="L86" i="17"/>
  <c r="L87" i="17"/>
  <c r="L88" i="17"/>
  <c r="L89" i="17"/>
  <c r="L90" i="17"/>
  <c r="L91" i="17"/>
  <c r="L93" i="17"/>
  <c r="L66" i="17"/>
  <c r="L62" i="17"/>
  <c r="L36" i="17"/>
  <c r="L37" i="17"/>
  <c r="L38" i="17"/>
  <c r="L39" i="17"/>
  <c r="L40" i="17"/>
  <c r="L41" i="17"/>
  <c r="L42" i="17"/>
  <c r="L44" i="17"/>
  <c r="L45" i="17"/>
  <c r="L46" i="17"/>
  <c r="L47" i="17"/>
  <c r="L48" i="17"/>
  <c r="L49" i="17"/>
  <c r="L50" i="17"/>
  <c r="L51" i="17"/>
  <c r="L53" i="17"/>
  <c r="L54" i="17"/>
  <c r="L55" i="17"/>
  <c r="L56" i="17"/>
  <c r="L57" i="17"/>
  <c r="L58" i="17"/>
  <c r="L59" i="17"/>
  <c r="L60" i="17"/>
  <c r="L35" i="17"/>
  <c r="L5" i="17"/>
  <c r="L6" i="17"/>
  <c r="L7" i="17"/>
  <c r="L8" i="17"/>
  <c r="L9" i="17"/>
  <c r="L10" i="17"/>
  <c r="L11" i="17"/>
  <c r="L13" i="17"/>
  <c r="L14" i="17"/>
  <c r="L15" i="17"/>
  <c r="L16" i="17"/>
  <c r="L17" i="17"/>
  <c r="L18" i="17"/>
  <c r="L19" i="17"/>
  <c r="L20" i="17"/>
  <c r="L22" i="17"/>
  <c r="L23" i="17"/>
  <c r="L24" i="17"/>
  <c r="L25" i="17"/>
  <c r="L26" i="17"/>
  <c r="L27" i="17"/>
  <c r="L28" i="17"/>
  <c r="L29" i="17"/>
  <c r="L31" i="17"/>
  <c r="L4" i="17"/>
  <c r="D67" i="17"/>
  <c r="D68" i="17"/>
  <c r="D69" i="17"/>
  <c r="D70" i="17"/>
  <c r="D71" i="17"/>
  <c r="D72" i="17"/>
  <c r="D73" i="17"/>
  <c r="D75" i="17"/>
  <c r="D76" i="17"/>
  <c r="D77" i="17"/>
  <c r="D78" i="17"/>
  <c r="D79" i="17"/>
  <c r="D80" i="17"/>
  <c r="D81" i="17"/>
  <c r="D82" i="17"/>
  <c r="D84" i="17"/>
  <c r="D85" i="17"/>
  <c r="D86" i="17"/>
  <c r="D87" i="17"/>
  <c r="D88" i="17"/>
  <c r="D89" i="17"/>
  <c r="D90" i="17"/>
  <c r="D91" i="17"/>
  <c r="D93" i="17"/>
  <c r="D66" i="17"/>
  <c r="D36" i="17"/>
  <c r="D37" i="17"/>
  <c r="D38" i="17"/>
  <c r="D39" i="17"/>
  <c r="D40" i="17"/>
  <c r="D41" i="17"/>
  <c r="D42" i="17"/>
  <c r="D44" i="17"/>
  <c r="D45" i="17"/>
  <c r="D46" i="17"/>
  <c r="D47" i="17"/>
  <c r="D48" i="17"/>
  <c r="D49" i="17"/>
  <c r="D50" i="17"/>
  <c r="D51" i="17"/>
  <c r="D53" i="17"/>
  <c r="D54" i="17"/>
  <c r="D55" i="17"/>
  <c r="D56" i="17"/>
  <c r="D57" i="17"/>
  <c r="D58" i="17"/>
  <c r="D59" i="17"/>
  <c r="D60" i="17"/>
  <c r="D62" i="17"/>
  <c r="D35" i="17"/>
  <c r="D31" i="17"/>
  <c r="D23" i="17"/>
  <c r="D24" i="17"/>
  <c r="D25" i="17"/>
  <c r="D26" i="17"/>
  <c r="D27" i="17"/>
  <c r="D28" i="17"/>
  <c r="D29" i="17"/>
  <c r="D22" i="17"/>
  <c r="D14" i="17"/>
  <c r="D15" i="17"/>
  <c r="D16" i="17"/>
  <c r="D17" i="17"/>
  <c r="D18" i="17"/>
  <c r="D19" i="17"/>
  <c r="D20" i="17"/>
  <c r="D13" i="17"/>
  <c r="D5" i="17"/>
  <c r="D6" i="17"/>
  <c r="D7" i="17"/>
  <c r="D8" i="17"/>
  <c r="D9" i="17"/>
  <c r="D10" i="17"/>
  <c r="D11" i="17"/>
  <c r="A14" i="4" l="1"/>
  <c r="B6" i="4"/>
  <c r="G30" i="4"/>
  <c r="B30" i="4"/>
  <c r="F30" i="4"/>
  <c r="D30" i="4"/>
  <c r="E30" i="4"/>
  <c r="C30" i="4"/>
  <c r="A6" i="4"/>
  <c r="B14" i="4"/>
  <c r="A10" i="4"/>
  <c r="G6" i="4"/>
  <c r="F14" i="4"/>
  <c r="E14" i="4"/>
  <c r="C10" i="4"/>
  <c r="F10" i="4"/>
  <c r="C14" i="4"/>
  <c r="D14" i="4"/>
  <c r="E10" i="4"/>
  <c r="D10" i="4"/>
  <c r="D6" i="4"/>
  <c r="C6" i="4"/>
  <c r="E6" i="4"/>
  <c r="A30" i="4"/>
  <c r="H14" i="4"/>
  <c r="H10" i="4"/>
  <c r="H6" i="4"/>
  <c r="E26" i="4" l="1"/>
  <c r="C26" i="4"/>
  <c r="H26" i="4"/>
  <c r="D26" i="4"/>
  <c r="A26" i="4"/>
  <c r="BO32" i="13"/>
  <c r="BO33" i="13" s="1"/>
  <c r="BO34" i="13" s="1"/>
  <c r="BO35" i="13" s="1"/>
  <c r="BO36" i="13" s="1"/>
  <c r="BO37" i="13" s="1"/>
  <c r="BO38" i="13" s="1"/>
  <c r="BO39" i="13" s="1"/>
  <c r="BO40" i="13" s="1"/>
  <c r="BO41" i="13" s="1"/>
  <c r="BO42" i="13" s="1"/>
  <c r="BO43" i="13" s="1"/>
  <c r="BO44" i="13" s="1"/>
  <c r="BO45" i="13" s="1"/>
  <c r="BO46" i="13" s="1"/>
  <c r="BO47" i="13" s="1"/>
  <c r="BO48" i="13" s="1"/>
  <c r="BO49" i="13" s="1"/>
  <c r="BO50" i="13" s="1"/>
  <c r="BO51" i="13" s="1"/>
  <c r="BO52" i="13" s="1"/>
  <c r="BO53" i="13" l="1"/>
  <c r="BO54" i="13" s="1"/>
  <c r="BO55" i="13" s="1"/>
  <c r="BO56" i="13" s="1"/>
  <c r="O4" i="13"/>
  <c r="O5" i="13"/>
  <c r="O6" i="13"/>
  <c r="O7" i="13"/>
  <c r="O8" i="13"/>
  <c r="O9" i="13" s="1"/>
  <c r="O10" i="13" s="1"/>
  <c r="O11" i="13" s="1"/>
  <c r="O12" i="13" s="1"/>
  <c r="O13" i="13" s="1"/>
  <c r="O14" i="13" s="1"/>
  <c r="O15" i="13" s="1"/>
  <c r="O16" i="13" s="1"/>
  <c r="O17" i="13" s="1"/>
  <c r="O18" i="13" s="1"/>
  <c r="O19" i="13" s="1"/>
  <c r="O20" i="13" s="1"/>
  <c r="O21" i="13" s="1"/>
  <c r="O22" i="13" s="1"/>
  <c r="O23" i="13" s="1"/>
  <c r="O24" i="13" s="1"/>
  <c r="O25" i="13" s="1"/>
  <c r="O26" i="13" s="1"/>
  <c r="O27" i="13" s="1"/>
  <c r="O28" i="13" s="1"/>
  <c r="O29" i="13" s="1"/>
  <c r="O30" i="13" s="1"/>
  <c r="O31" i="13" s="1"/>
  <c r="O32" i="13" s="1"/>
  <c r="O33" i="13" s="1"/>
  <c r="BO60" i="13"/>
  <c r="BO61" i="13" s="1"/>
  <c r="BO62" i="13" s="1"/>
  <c r="BO63" i="13" s="1"/>
  <c r="BO64" i="13" s="1"/>
  <c r="BO65" i="13" s="1"/>
  <c r="BO66" i="13" s="1"/>
  <c r="BO67" i="13" s="1"/>
  <c r="BO68" i="13" s="1"/>
  <c r="BO69" i="13" s="1"/>
  <c r="BO70" i="13" s="1"/>
  <c r="BO71" i="13" s="1"/>
  <c r="BO72" i="13" s="1"/>
  <c r="BO73" i="13" s="1"/>
  <c r="BO74" i="13" s="1"/>
  <c r="BO75" i="13" s="1"/>
  <c r="BO76" i="13" s="1"/>
  <c r="BO77" i="13" s="1"/>
  <c r="BO78" i="13" s="1"/>
  <c r="BO79" i="13" s="1"/>
  <c r="BO80" i="13" s="1"/>
  <c r="BO81" i="13" s="1"/>
  <c r="BO82" i="13" s="1"/>
  <c r="BO83" i="13" s="1"/>
  <c r="BO84" i="13" s="1"/>
  <c r="BQ60" i="13"/>
  <c r="BQ61" i="13" s="1"/>
  <c r="BQ62" i="13" s="1"/>
  <c r="BQ63" i="13" s="1"/>
  <c r="BQ64" i="13" s="1"/>
  <c r="BQ65" i="13" s="1"/>
  <c r="BQ66" i="13" s="1"/>
  <c r="BQ67" i="13" s="1"/>
  <c r="BQ68" i="13" s="1"/>
  <c r="BQ69" i="13" s="1"/>
  <c r="BQ70" i="13" s="1"/>
  <c r="BQ71" i="13" s="1"/>
  <c r="BQ72" i="13" s="1"/>
  <c r="BQ73" i="13" s="1"/>
  <c r="BQ74" i="13" s="1"/>
  <c r="BQ75" i="13" s="1"/>
  <c r="BQ76" i="13" s="1"/>
  <c r="BQ77" i="13" s="1"/>
  <c r="BQ78" i="13" s="1"/>
  <c r="BQ79" i="13" s="1"/>
  <c r="BQ80" i="13" s="1"/>
  <c r="BQ81" i="13" s="1"/>
  <c r="BQ82" i="13" s="1"/>
  <c r="BQ83" i="13" s="1"/>
  <c r="BQ84" i="13" s="1"/>
  <c r="BY60" i="13"/>
  <c r="BY61" i="13" s="1"/>
  <c r="BY62" i="13" s="1"/>
  <c r="BY63" i="13" s="1"/>
  <c r="BY64" i="13" s="1"/>
  <c r="BY65" i="13" s="1"/>
  <c r="BY66" i="13" s="1"/>
  <c r="BY67" i="13" s="1"/>
  <c r="BY68" i="13" s="1"/>
  <c r="BY69" i="13" s="1"/>
  <c r="BY70" i="13" s="1"/>
  <c r="BY71" i="13" s="1"/>
  <c r="BY72" i="13" s="1"/>
  <c r="BY73" i="13" s="1"/>
  <c r="BY74" i="13" s="1"/>
  <c r="BY75" i="13" s="1"/>
  <c r="BY76" i="13" s="1"/>
  <c r="BY77" i="13" s="1"/>
  <c r="BY78" i="13" s="1"/>
  <c r="BY79" i="13" s="1"/>
  <c r="BY80" i="13" s="1"/>
  <c r="BY81" i="13" s="1"/>
  <c r="BY82" i="13" s="1"/>
  <c r="BY83" i="13" s="1"/>
  <c r="BY84" i="13" s="1"/>
  <c r="BW60" i="13"/>
  <c r="BW61" i="13" s="1"/>
  <c r="BW62" i="13" s="1"/>
  <c r="BW63" i="13" s="1"/>
  <c r="BW64" i="13" s="1"/>
  <c r="BW65" i="13" s="1"/>
  <c r="BW66" i="13" s="1"/>
  <c r="BW67" i="13" s="1"/>
  <c r="BW68" i="13" s="1"/>
  <c r="BW69" i="13" s="1"/>
  <c r="BW70" i="13" s="1"/>
  <c r="BW71" i="13" s="1"/>
  <c r="BW72" i="13" s="1"/>
  <c r="BW73" i="13" s="1"/>
  <c r="BW74" i="13" s="1"/>
  <c r="BW75" i="13" s="1"/>
  <c r="BW76" i="13" s="1"/>
  <c r="BW77" i="13" s="1"/>
  <c r="BW78" i="13" s="1"/>
  <c r="BW79" i="13" s="1"/>
  <c r="BW80" i="13" s="1"/>
  <c r="BW81" i="13" s="1"/>
  <c r="BW82" i="13" s="1"/>
  <c r="BW83" i="13" s="1"/>
  <c r="BW84" i="13" s="1"/>
  <c r="BU60" i="13"/>
  <c r="BU61" i="13" s="1"/>
  <c r="BU62" i="13" s="1"/>
  <c r="BU63" i="13" s="1"/>
  <c r="BU64" i="13" s="1"/>
  <c r="BU65" i="13" s="1"/>
  <c r="BU66" i="13" s="1"/>
  <c r="BU67" i="13" s="1"/>
  <c r="BU68" i="13" s="1"/>
  <c r="BU69" i="13" s="1"/>
  <c r="BU70" i="13" s="1"/>
  <c r="BU71" i="13" s="1"/>
  <c r="BU72" i="13" s="1"/>
  <c r="BU73" i="13" s="1"/>
  <c r="BU74" i="13" s="1"/>
  <c r="BU75" i="13" s="1"/>
  <c r="BU76" i="13" s="1"/>
  <c r="BU77" i="13" s="1"/>
  <c r="BU78" i="13" s="1"/>
  <c r="BU79" i="13" s="1"/>
  <c r="BU80" i="13" s="1"/>
  <c r="BU81" i="13" s="1"/>
  <c r="BU82" i="13" s="1"/>
  <c r="BU83" i="13" s="1"/>
  <c r="BU84" i="13" s="1"/>
  <c r="BS60" i="13"/>
  <c r="BS61" i="13" s="1"/>
  <c r="BS62" i="13" s="1"/>
  <c r="BS63" i="13" s="1"/>
  <c r="BS64" i="13" s="1"/>
  <c r="BS65" i="13" s="1"/>
  <c r="BS66" i="13" s="1"/>
  <c r="BS67" i="13" s="1"/>
  <c r="BS68" i="13" s="1"/>
  <c r="BS69" i="13" s="1"/>
  <c r="BS70" i="13" s="1"/>
  <c r="BS71" i="13" s="1"/>
  <c r="BS72" i="13" s="1"/>
  <c r="BS73" i="13" s="1"/>
  <c r="BS74" i="13" s="1"/>
  <c r="BS75" i="13" s="1"/>
  <c r="BS76" i="13" s="1"/>
  <c r="BS77" i="13" s="1"/>
  <c r="BS78" i="13" s="1"/>
  <c r="BS79" i="13" s="1"/>
  <c r="BS80" i="13" s="1"/>
  <c r="BS81" i="13" s="1"/>
  <c r="BS82" i="13" s="1"/>
  <c r="BS83" i="13" s="1"/>
  <c r="BS84" i="13" s="1"/>
  <c r="BQ32" i="13"/>
  <c r="BQ33" i="13" s="1"/>
  <c r="BQ34" i="13" s="1"/>
  <c r="BQ35" i="13" s="1"/>
  <c r="BQ36" i="13" s="1"/>
  <c r="BQ37" i="13" s="1"/>
  <c r="BQ38" i="13" s="1"/>
  <c r="BQ39" i="13" s="1"/>
  <c r="BQ40" i="13" s="1"/>
  <c r="BQ41" i="13" s="1"/>
  <c r="BQ42" i="13" s="1"/>
  <c r="BQ43" i="13" s="1"/>
  <c r="BQ44" i="13" s="1"/>
  <c r="BQ45" i="13" s="1"/>
  <c r="BQ46" i="13" s="1"/>
  <c r="BQ47" i="13" s="1"/>
  <c r="BQ48" i="13" s="1"/>
  <c r="BQ49" i="13" s="1"/>
  <c r="BQ50" i="13" s="1"/>
  <c r="BQ51" i="13" s="1"/>
  <c r="BQ52" i="13" s="1"/>
  <c r="BQ53" i="13" s="1"/>
  <c r="BQ54" i="13" s="1"/>
  <c r="BQ55" i="13" s="1"/>
  <c r="BQ56" i="13" s="1"/>
  <c r="BS32" i="13"/>
  <c r="BS33" i="13" s="1"/>
  <c r="BS34" i="13" s="1"/>
  <c r="BS35" i="13" s="1"/>
  <c r="BS36" i="13" s="1"/>
  <c r="BS37" i="13" s="1"/>
  <c r="BS38" i="13" s="1"/>
  <c r="BS39" i="13" s="1"/>
  <c r="BS40" i="13" s="1"/>
  <c r="BS41" i="13" s="1"/>
  <c r="BS42" i="13" s="1"/>
  <c r="BS43" i="13" s="1"/>
  <c r="BS44" i="13" s="1"/>
  <c r="BS45" i="13" s="1"/>
  <c r="BS46" i="13" s="1"/>
  <c r="BS47" i="13" s="1"/>
  <c r="BS48" i="13" s="1"/>
  <c r="BS49" i="13" s="1"/>
  <c r="BS50" i="13" s="1"/>
  <c r="BS51" i="13" s="1"/>
  <c r="BS52" i="13" s="1"/>
  <c r="BS53" i="13" s="1"/>
  <c r="BS54" i="13" s="1"/>
  <c r="BS55" i="13" s="1"/>
  <c r="BS56" i="13" s="1"/>
  <c r="BU32" i="13"/>
  <c r="BU33" i="13" s="1"/>
  <c r="BU34" i="13" s="1"/>
  <c r="BU35" i="13" s="1"/>
  <c r="BU36" i="13" s="1"/>
  <c r="BU37" i="13" s="1"/>
  <c r="BU38" i="13" s="1"/>
  <c r="BU39" i="13" s="1"/>
  <c r="BU40" i="13" s="1"/>
  <c r="BU41" i="13" s="1"/>
  <c r="BU42" i="13" s="1"/>
  <c r="BU43" i="13" s="1"/>
  <c r="BU44" i="13" s="1"/>
  <c r="BU45" i="13" s="1"/>
  <c r="BU46" i="13" s="1"/>
  <c r="BU47" i="13" s="1"/>
  <c r="BU48" i="13" s="1"/>
  <c r="BU49" i="13" s="1"/>
  <c r="BU50" i="13" s="1"/>
  <c r="BU51" i="13" s="1"/>
  <c r="BU52" i="13" s="1"/>
  <c r="BU53" i="13" s="1"/>
  <c r="BU54" i="13" s="1"/>
  <c r="BU55" i="13" s="1"/>
  <c r="BU56" i="13" s="1"/>
  <c r="BW32" i="13"/>
  <c r="BW33" i="13" s="1"/>
  <c r="BW34" i="13" s="1"/>
  <c r="BW35" i="13" s="1"/>
  <c r="BW36" i="13" s="1"/>
  <c r="BW37" i="13" s="1"/>
  <c r="BW38" i="13" s="1"/>
  <c r="BW39" i="13" s="1"/>
  <c r="BW40" i="13" s="1"/>
  <c r="BW41" i="13" s="1"/>
  <c r="BW42" i="13" s="1"/>
  <c r="BW43" i="13" s="1"/>
  <c r="BW44" i="13" s="1"/>
  <c r="BW45" i="13" s="1"/>
  <c r="BW46" i="13" s="1"/>
  <c r="BW47" i="13" s="1"/>
  <c r="BW48" i="13" s="1"/>
  <c r="BW49" i="13" s="1"/>
  <c r="BW50" i="13" s="1"/>
  <c r="BW51" i="13" s="1"/>
  <c r="BW52" i="13" s="1"/>
  <c r="BW53" i="13" s="1"/>
  <c r="BW54" i="13" s="1"/>
  <c r="BW55" i="13" s="1"/>
  <c r="BW56" i="13" s="1"/>
  <c r="BY32" i="13"/>
  <c r="BY33" i="13" s="1"/>
  <c r="BY34" i="13" s="1"/>
  <c r="BY35" i="13" s="1"/>
  <c r="BY36" i="13" s="1"/>
  <c r="BY37" i="13" s="1"/>
  <c r="BY38" i="13" s="1"/>
  <c r="BY39" i="13" s="1"/>
  <c r="BY40" i="13" s="1"/>
  <c r="BY41" i="13" s="1"/>
  <c r="BY42" i="13" s="1"/>
  <c r="BY43" i="13" s="1"/>
  <c r="BY44" i="13" s="1"/>
  <c r="BY45" i="13" s="1"/>
  <c r="BY46" i="13" s="1"/>
  <c r="BY47" i="13" s="1"/>
  <c r="BY48" i="13" s="1"/>
  <c r="BY49" i="13" s="1"/>
  <c r="BY50" i="13" s="1"/>
  <c r="BY51" i="13" s="1"/>
  <c r="BY52" i="13" s="1"/>
  <c r="BY53" i="13" s="1"/>
  <c r="BY54" i="13" s="1"/>
  <c r="BY55" i="13" s="1"/>
  <c r="BY56" i="13" s="1"/>
  <c r="BQ4" i="13"/>
  <c r="BQ5" i="13" s="1"/>
  <c r="BQ6" i="13" s="1"/>
  <c r="BQ7" i="13" s="1"/>
  <c r="BQ8" i="13" s="1"/>
  <c r="BQ9" i="13" s="1"/>
  <c r="BQ10" i="13" s="1"/>
  <c r="BQ11" i="13" s="1"/>
  <c r="BQ12" i="13" s="1"/>
  <c r="BQ13" i="13" s="1"/>
  <c r="BQ14" i="13" s="1"/>
  <c r="BQ15" i="13" s="1"/>
  <c r="BQ16" i="13" s="1"/>
  <c r="BQ17" i="13" s="1"/>
  <c r="BQ18" i="13" s="1"/>
  <c r="BQ19" i="13" s="1"/>
  <c r="BQ20" i="13" s="1"/>
  <c r="BQ21" i="13" s="1"/>
  <c r="BQ22" i="13" s="1"/>
  <c r="BQ23" i="13" s="1"/>
  <c r="BQ24" i="13" s="1"/>
  <c r="BQ25" i="13" s="1"/>
  <c r="BQ26" i="13" s="1"/>
  <c r="BQ27" i="13" s="1"/>
  <c r="BQ28" i="13" s="1"/>
  <c r="BO4" i="13"/>
  <c r="BO5" i="13" s="1"/>
  <c r="BO6" i="13" s="1"/>
  <c r="BO7" i="13" s="1"/>
  <c r="BO8" i="13" s="1"/>
  <c r="BO9" i="13" s="1"/>
  <c r="BO10" i="13" s="1"/>
  <c r="BO11" i="13" s="1"/>
  <c r="BO12" i="13" s="1"/>
  <c r="BO13" i="13" s="1"/>
  <c r="BO14" i="13" s="1"/>
  <c r="BO15" i="13" s="1"/>
  <c r="BO16" i="13" s="1"/>
  <c r="BO17" i="13" s="1"/>
  <c r="BO18" i="13" s="1"/>
  <c r="BO19" i="13" s="1"/>
  <c r="BO20" i="13" s="1"/>
  <c r="BO21" i="13" s="1"/>
  <c r="BO22" i="13" s="1"/>
  <c r="BO23" i="13" s="1"/>
  <c r="BO24" i="13" s="1"/>
  <c r="BO25" i="13" s="1"/>
  <c r="BO26" i="13" s="1"/>
  <c r="BO27" i="13" s="1"/>
  <c r="BO28" i="13" s="1"/>
  <c r="BY4" i="13"/>
  <c r="BY5" i="13" s="1"/>
  <c r="BY6" i="13" s="1"/>
  <c r="BY7" i="13" s="1"/>
  <c r="BY8" i="13" s="1"/>
  <c r="BY9" i="13" s="1"/>
  <c r="BY10" i="13" s="1"/>
  <c r="BY11" i="13" s="1"/>
  <c r="BY12" i="13" s="1"/>
  <c r="BY13" i="13" s="1"/>
  <c r="BY14" i="13" s="1"/>
  <c r="BY15" i="13" s="1"/>
  <c r="BY16" i="13" s="1"/>
  <c r="BY17" i="13" s="1"/>
  <c r="BY18" i="13" s="1"/>
  <c r="BY19" i="13" s="1"/>
  <c r="BY20" i="13" s="1"/>
  <c r="BY21" i="13" s="1"/>
  <c r="BY22" i="13" s="1"/>
  <c r="BY23" i="13" s="1"/>
  <c r="BY24" i="13" s="1"/>
  <c r="BY25" i="13" s="1"/>
  <c r="BY26" i="13" s="1"/>
  <c r="BY27" i="13" s="1"/>
  <c r="BY28" i="13" s="1"/>
  <c r="BW4" i="13"/>
  <c r="BW5" i="13" s="1"/>
  <c r="BW6" i="13" s="1"/>
  <c r="BW7" i="13" s="1"/>
  <c r="BW8" i="13" s="1"/>
  <c r="BW9" i="13" s="1"/>
  <c r="BW10" i="13" s="1"/>
  <c r="BW11" i="13" s="1"/>
  <c r="BW12" i="13" s="1"/>
  <c r="BW13" i="13" s="1"/>
  <c r="BW14" i="13" s="1"/>
  <c r="BW15" i="13" s="1"/>
  <c r="BW16" i="13" s="1"/>
  <c r="BW17" i="13" s="1"/>
  <c r="BW18" i="13" s="1"/>
  <c r="BW19" i="13" s="1"/>
  <c r="BW20" i="13" s="1"/>
  <c r="BW21" i="13" s="1"/>
  <c r="BW22" i="13" s="1"/>
  <c r="BW23" i="13" s="1"/>
  <c r="BW24" i="13" s="1"/>
  <c r="BW25" i="13" s="1"/>
  <c r="BW26" i="13" s="1"/>
  <c r="BW27" i="13" s="1"/>
  <c r="BW28" i="13" s="1"/>
  <c r="BU4" i="13"/>
  <c r="BU5" i="13" s="1"/>
  <c r="BU6" i="13" s="1"/>
  <c r="BU7" i="13" s="1"/>
  <c r="BU8" i="13" s="1"/>
  <c r="BU9" i="13" s="1"/>
  <c r="BU10" i="13" s="1"/>
  <c r="BU11" i="13" s="1"/>
  <c r="BU12" i="13" s="1"/>
  <c r="BU13" i="13" s="1"/>
  <c r="BU14" i="13" s="1"/>
  <c r="BU15" i="13" s="1"/>
  <c r="BU16" i="13" s="1"/>
  <c r="BU17" i="13" s="1"/>
  <c r="BU18" i="13" s="1"/>
  <c r="BU19" i="13" s="1"/>
  <c r="BU20" i="13" s="1"/>
  <c r="BU21" i="13" s="1"/>
  <c r="BU22" i="13" s="1"/>
  <c r="BU23" i="13" s="1"/>
  <c r="BU24" i="13" s="1"/>
  <c r="BU25" i="13" s="1"/>
  <c r="BU26" i="13" s="1"/>
  <c r="BU27" i="13" s="1"/>
  <c r="BU28" i="13" s="1"/>
  <c r="BS4" i="13"/>
  <c r="BS5" i="13" s="1"/>
  <c r="BS6" i="13" s="1"/>
  <c r="BS7" i="13" s="1"/>
  <c r="BS8" i="13" s="1"/>
  <c r="BS9" i="13" s="1"/>
  <c r="BS10" i="13" s="1"/>
  <c r="BS11" i="13" s="1"/>
  <c r="BS12" i="13" s="1"/>
  <c r="BS13" i="13" s="1"/>
  <c r="BS14" i="13" s="1"/>
  <c r="BS15" i="13" s="1"/>
  <c r="BS16" i="13" s="1"/>
  <c r="BS17" i="13" s="1"/>
  <c r="BS18" i="13" s="1"/>
  <c r="BS19" i="13" s="1"/>
  <c r="BS20" i="13" s="1"/>
  <c r="BS21" i="13" s="1"/>
  <c r="BS22" i="13" s="1"/>
  <c r="BS23" i="13" s="1"/>
  <c r="BS24" i="13" s="1"/>
  <c r="BS25" i="13" s="1"/>
  <c r="BS26" i="13" s="1"/>
  <c r="BS27" i="13" s="1"/>
  <c r="BS28" i="13" s="1"/>
  <c r="BI66" i="13"/>
  <c r="BI67" i="13" s="1"/>
  <c r="BI68" i="13" s="1"/>
  <c r="BI69" i="13" s="1"/>
  <c r="BI70" i="13" s="1"/>
  <c r="BI71" i="13" s="1"/>
  <c r="BI72" i="13" s="1"/>
  <c r="BI73" i="13" s="1"/>
  <c r="BI74" i="13" s="1"/>
  <c r="BI75" i="13" s="1"/>
  <c r="BI76" i="13" s="1"/>
  <c r="BI77" i="13" s="1"/>
  <c r="BI78" i="13" s="1"/>
  <c r="BI79" i="13" s="1"/>
  <c r="BI80" i="13" s="1"/>
  <c r="BI81" i="13" s="1"/>
  <c r="BI82" i="13" s="1"/>
  <c r="BI83" i="13" s="1"/>
  <c r="BI84" i="13" s="1"/>
  <c r="BI85" i="13" s="1"/>
  <c r="BK66" i="13"/>
  <c r="BK67" i="13" s="1"/>
  <c r="BK68" i="13" s="1"/>
  <c r="BK69" i="13" s="1"/>
  <c r="BK70" i="13" s="1"/>
  <c r="BK71" i="13" s="1"/>
  <c r="BK72" i="13" s="1"/>
  <c r="BK73" i="13" s="1"/>
  <c r="BK74" i="13" s="1"/>
  <c r="BK75" i="13" s="1"/>
  <c r="BK76" i="13" s="1"/>
  <c r="BK77" i="13" s="1"/>
  <c r="BK78" i="13" s="1"/>
  <c r="BK79" i="13" s="1"/>
  <c r="BK80" i="13" s="1"/>
  <c r="BK81" i="13" s="1"/>
  <c r="BK82" i="13" s="1"/>
  <c r="BK83" i="13" s="1"/>
  <c r="BK84" i="13" s="1"/>
  <c r="BK85" i="13" s="1"/>
  <c r="R5" i="15" s="1"/>
  <c r="BI48" i="13" l="1"/>
  <c r="BI49" i="13" s="1"/>
  <c r="BI50" i="13" s="1"/>
  <c r="BI51" i="13" s="1"/>
  <c r="BI52" i="13" s="1"/>
  <c r="BI53" i="13" s="1"/>
  <c r="BI54" i="13" s="1"/>
  <c r="BI55" i="13" s="1"/>
  <c r="BI56" i="13" s="1"/>
  <c r="BI57" i="13" s="1"/>
  <c r="BI58" i="13" s="1"/>
  <c r="BI59" i="13" s="1"/>
  <c r="BI60" i="13" s="1"/>
  <c r="BI61" i="13" s="1"/>
  <c r="BI62" i="13" s="1"/>
  <c r="BK48" i="13"/>
  <c r="BK49" i="13" s="1"/>
  <c r="BK50" i="13" s="1"/>
  <c r="BK51" i="13" s="1"/>
  <c r="BK52" i="13" s="1"/>
  <c r="BK53" i="13" s="1"/>
  <c r="BK54" i="13" s="1"/>
  <c r="BK55" i="13" s="1"/>
  <c r="BK56" i="13" s="1"/>
  <c r="BK57" i="13" s="1"/>
  <c r="BK58" i="13" s="1"/>
  <c r="BK59" i="13" s="1"/>
  <c r="BK60" i="13" s="1"/>
  <c r="BK61" i="13" s="1"/>
  <c r="BK62" i="13" s="1"/>
  <c r="R11" i="15" s="1"/>
  <c r="BI30" i="13"/>
  <c r="BI31" i="13" s="1"/>
  <c r="BI32" i="13" s="1"/>
  <c r="BI33" i="13" s="1"/>
  <c r="BI34" i="13" s="1"/>
  <c r="BI35" i="13" s="1"/>
  <c r="BI36" i="13" s="1"/>
  <c r="BI37" i="13" s="1"/>
  <c r="BI38" i="13" s="1"/>
  <c r="BI39" i="13" s="1"/>
  <c r="BI40" i="13" s="1"/>
  <c r="BI41" i="13" s="1"/>
  <c r="BI42" i="13" s="1"/>
  <c r="BI43" i="13" s="1"/>
  <c r="BI44" i="13" s="1"/>
  <c r="BK30" i="13"/>
  <c r="BK31" i="13" s="1"/>
  <c r="BK32" i="13" s="1"/>
  <c r="BK33" i="13" s="1"/>
  <c r="BK34" i="13" s="1"/>
  <c r="BK35" i="13" s="1"/>
  <c r="BK36" i="13" s="1"/>
  <c r="BK37" i="13" s="1"/>
  <c r="BK38" i="13" s="1"/>
  <c r="BK39" i="13" s="1"/>
  <c r="BK40" i="13" s="1"/>
  <c r="BK41" i="13" s="1"/>
  <c r="BK42" i="13" s="1"/>
  <c r="BK43" i="13" s="1"/>
  <c r="BK44" i="13" s="1"/>
  <c r="R9" i="15" s="1"/>
  <c r="BI17" i="13"/>
  <c r="BI18" i="13" s="1"/>
  <c r="BI19" i="13" s="1"/>
  <c r="BI20" i="13" s="1"/>
  <c r="BI21" i="13" s="1"/>
  <c r="BI22" i="13" s="1"/>
  <c r="BI23" i="13" s="1"/>
  <c r="BI24" i="13" s="1"/>
  <c r="BI25" i="13" s="1"/>
  <c r="BI26" i="13" s="1"/>
  <c r="BK17" i="13"/>
  <c r="BK18" i="13" s="1"/>
  <c r="BK19" i="13" s="1"/>
  <c r="BK20" i="13" s="1"/>
  <c r="BK21" i="13" s="1"/>
  <c r="BK22" i="13" s="1"/>
  <c r="BK23" i="13" s="1"/>
  <c r="BK24" i="13" s="1"/>
  <c r="BK25" i="13" s="1"/>
  <c r="BK26" i="13" s="1"/>
  <c r="R7" i="15" s="1"/>
  <c r="BI4" i="13"/>
  <c r="BI5" i="13" s="1"/>
  <c r="BI6" i="13" s="1"/>
  <c r="BI7" i="13" s="1"/>
  <c r="BI8" i="13" s="1"/>
  <c r="BI9" i="13" s="1"/>
  <c r="BI10" i="13" s="1"/>
  <c r="BI11" i="13" s="1"/>
  <c r="BI12" i="13" s="1"/>
  <c r="BI13" i="13" s="1"/>
  <c r="BK4" i="13"/>
  <c r="BK5" i="13" s="1"/>
  <c r="BK6" i="13" s="1"/>
  <c r="BK7" i="13" s="1"/>
  <c r="BK8" i="13" s="1"/>
  <c r="BK9" i="13" s="1"/>
  <c r="BK10" i="13" s="1"/>
  <c r="BK11" i="13" s="1"/>
  <c r="BK12" i="13" s="1"/>
  <c r="BK13" i="13" s="1"/>
  <c r="R3" i="15" s="1"/>
  <c r="BE144" i="13" l="1"/>
  <c r="BE145" i="13" s="1"/>
  <c r="BE146" i="13" s="1"/>
  <c r="BE147" i="13" s="1"/>
  <c r="BE148" i="13" s="1"/>
  <c r="BE149" i="13" s="1"/>
  <c r="BE150" i="13" s="1"/>
  <c r="BE151" i="13" s="1"/>
  <c r="BE152" i="13" s="1"/>
  <c r="BE153" i="13" s="1"/>
  <c r="BE154" i="13" s="1"/>
  <c r="BE155" i="13" s="1"/>
  <c r="BE156" i="13" s="1"/>
  <c r="BE157" i="13" s="1"/>
  <c r="BE158" i="13" s="1"/>
  <c r="BE159" i="13" s="1"/>
  <c r="BE160" i="13" s="1"/>
  <c r="BE161" i="13" s="1"/>
  <c r="BE162" i="13" s="1"/>
  <c r="BE163" i="13" s="1"/>
  <c r="BE164" i="13" s="1"/>
  <c r="BE165" i="13" s="1"/>
  <c r="BE166" i="13" s="1"/>
  <c r="BE167" i="13" s="1"/>
  <c r="BE168" i="13" s="1"/>
  <c r="BC144" i="13"/>
  <c r="BC145" i="13" s="1"/>
  <c r="BC146" i="13" s="1"/>
  <c r="BC147" i="13" s="1"/>
  <c r="BC148" i="13" s="1"/>
  <c r="BC149" i="13" s="1"/>
  <c r="BC150" i="13" s="1"/>
  <c r="BC151" i="13" s="1"/>
  <c r="BC152" i="13" s="1"/>
  <c r="BC153" i="13" s="1"/>
  <c r="BE116" i="13"/>
  <c r="BE117" i="13" s="1"/>
  <c r="BE118" i="13" s="1"/>
  <c r="BE119" i="13" s="1"/>
  <c r="BE120" i="13" s="1"/>
  <c r="BE121" i="13" s="1"/>
  <c r="BE122" i="13" s="1"/>
  <c r="BE123" i="13" s="1"/>
  <c r="BE124" i="13" s="1"/>
  <c r="BE125" i="13" s="1"/>
  <c r="BE126" i="13" s="1"/>
  <c r="BE127" i="13" s="1"/>
  <c r="BE128" i="13" s="1"/>
  <c r="BE129" i="13" s="1"/>
  <c r="BE130" i="13" s="1"/>
  <c r="BE131" i="13" s="1"/>
  <c r="BE132" i="13" s="1"/>
  <c r="BE133" i="13" s="1"/>
  <c r="BE134" i="13" s="1"/>
  <c r="BE135" i="13" s="1"/>
  <c r="BE136" i="13" s="1"/>
  <c r="BE137" i="13" s="1"/>
  <c r="BE138" i="13" s="1"/>
  <c r="BE139" i="13" s="1"/>
  <c r="BE140" i="13" s="1"/>
  <c r="BC116" i="13"/>
  <c r="BC117" i="13" s="1"/>
  <c r="BC118" i="13" s="1"/>
  <c r="BC119" i="13" s="1"/>
  <c r="BC120" i="13" s="1"/>
  <c r="BC121" i="13" s="1"/>
  <c r="BC122" i="13" s="1"/>
  <c r="BC123" i="13" s="1"/>
  <c r="BC124" i="13" s="1"/>
  <c r="BC125" i="13" s="1"/>
  <c r="BC126" i="13" s="1"/>
  <c r="BC127" i="13" s="1"/>
  <c r="BC128" i="13" s="1"/>
  <c r="BC129" i="13" s="1"/>
  <c r="BC130" i="13" s="1"/>
  <c r="BC131" i="13" s="1"/>
  <c r="BC132" i="13" s="1"/>
  <c r="BC133" i="13" s="1"/>
  <c r="BC134" i="13" s="1"/>
  <c r="BC135" i="13" s="1"/>
  <c r="BC136" i="13" s="1"/>
  <c r="BC137" i="13" s="1"/>
  <c r="BC138" i="13" s="1"/>
  <c r="BC139" i="13" s="1"/>
  <c r="BC140" i="13" s="1"/>
  <c r="BE88" i="13"/>
  <c r="BE89" i="13" s="1"/>
  <c r="BE90" i="13" s="1"/>
  <c r="BE91" i="13" s="1"/>
  <c r="BE92" i="13" s="1"/>
  <c r="BE93" i="13" s="1"/>
  <c r="BE94" i="13" s="1"/>
  <c r="BE95" i="13" s="1"/>
  <c r="BE96" i="13" s="1"/>
  <c r="BE97" i="13" s="1"/>
  <c r="BE98" i="13" s="1"/>
  <c r="BE99" i="13" s="1"/>
  <c r="BE100" i="13" s="1"/>
  <c r="BE101" i="13" s="1"/>
  <c r="BE102" i="13" s="1"/>
  <c r="BE103" i="13" s="1"/>
  <c r="BE104" i="13" s="1"/>
  <c r="BE105" i="13" s="1"/>
  <c r="BE106" i="13" s="1"/>
  <c r="BE107" i="13" s="1"/>
  <c r="BE108" i="13" s="1"/>
  <c r="BE109" i="13" s="1"/>
  <c r="BE110" i="13" s="1"/>
  <c r="BE111" i="13" s="1"/>
  <c r="BE112" i="13" s="1"/>
  <c r="BC88" i="13"/>
  <c r="BC89" i="13" s="1"/>
  <c r="BC90" i="13" s="1"/>
  <c r="BC91" i="13" s="1"/>
  <c r="BC92" i="13" s="1"/>
  <c r="BC93" i="13" s="1"/>
  <c r="BC94" i="13" s="1"/>
  <c r="BC95" i="13" s="1"/>
  <c r="BC96" i="13" s="1"/>
  <c r="BC97" i="13" s="1"/>
  <c r="BC98" i="13" s="1"/>
  <c r="BC99" i="13" s="1"/>
  <c r="BC100" i="13" s="1"/>
  <c r="BC101" i="13" s="1"/>
  <c r="BC102" i="13" s="1"/>
  <c r="BC103" i="13" s="1"/>
  <c r="BC104" i="13" s="1"/>
  <c r="BC105" i="13" s="1"/>
  <c r="BC106" i="13" s="1"/>
  <c r="BC107" i="13" s="1"/>
  <c r="BC108" i="13" s="1"/>
  <c r="BC109" i="13" s="1"/>
  <c r="BC110" i="13" s="1"/>
  <c r="BC111" i="13" s="1"/>
  <c r="BC112" i="13" s="1"/>
  <c r="BE60" i="13"/>
  <c r="BE61" i="13" s="1"/>
  <c r="BE62" i="13" s="1"/>
  <c r="BE63" i="13" s="1"/>
  <c r="BE64" i="13" s="1"/>
  <c r="BE65" i="13" s="1"/>
  <c r="BE66" i="13" s="1"/>
  <c r="BE67" i="13" s="1"/>
  <c r="BE68" i="13" s="1"/>
  <c r="BE69" i="13" s="1"/>
  <c r="BE70" i="13" s="1"/>
  <c r="BE71" i="13" s="1"/>
  <c r="BE72" i="13" s="1"/>
  <c r="BE73" i="13" s="1"/>
  <c r="BE74" i="13" s="1"/>
  <c r="BE75" i="13" s="1"/>
  <c r="BE76" i="13" s="1"/>
  <c r="BE77" i="13" s="1"/>
  <c r="BE78" i="13" s="1"/>
  <c r="BE79" i="13" s="1"/>
  <c r="BE80" i="13" s="1"/>
  <c r="BE81" i="13" s="1"/>
  <c r="BE82" i="13" s="1"/>
  <c r="BE83" i="13" s="1"/>
  <c r="BE84" i="13" s="1"/>
  <c r="BC60" i="13"/>
  <c r="BC61" i="13" s="1"/>
  <c r="BC62" i="13" s="1"/>
  <c r="BC63" i="13" s="1"/>
  <c r="BC64" i="13" s="1"/>
  <c r="BC65" i="13" s="1"/>
  <c r="BC66" i="13" s="1"/>
  <c r="BC67" i="13" s="1"/>
  <c r="BC68" i="13" s="1"/>
  <c r="BC69" i="13" s="1"/>
  <c r="BC70" i="13" s="1"/>
  <c r="BC71" i="13" s="1"/>
  <c r="BC72" i="13" s="1"/>
  <c r="BC73" i="13" s="1"/>
  <c r="BC74" i="13" s="1"/>
  <c r="BC75" i="13" s="1"/>
  <c r="BC76" i="13" s="1"/>
  <c r="BC77" i="13" s="1"/>
  <c r="BC78" i="13" s="1"/>
  <c r="BC79" i="13" s="1"/>
  <c r="BC80" i="13" s="1"/>
  <c r="BC81" i="13" s="1"/>
  <c r="BC82" i="13" s="1"/>
  <c r="BC83" i="13" s="1"/>
  <c r="BC84" i="13" s="1"/>
  <c r="BE32" i="13"/>
  <c r="BE33" i="13" s="1"/>
  <c r="BE34" i="13" s="1"/>
  <c r="BE35" i="13" s="1"/>
  <c r="BE36" i="13" s="1"/>
  <c r="BE37" i="13" s="1"/>
  <c r="BE38" i="13" s="1"/>
  <c r="BE39" i="13" s="1"/>
  <c r="BE40" i="13" s="1"/>
  <c r="BE41" i="13" s="1"/>
  <c r="BE42" i="13" s="1"/>
  <c r="BE43" i="13" s="1"/>
  <c r="BE44" i="13" s="1"/>
  <c r="BE45" i="13" s="1"/>
  <c r="BE46" i="13" s="1"/>
  <c r="BE47" i="13" s="1"/>
  <c r="BE48" i="13" s="1"/>
  <c r="BE49" i="13" s="1"/>
  <c r="BE50" i="13" s="1"/>
  <c r="BE51" i="13" s="1"/>
  <c r="BE52" i="13" s="1"/>
  <c r="BE53" i="13" s="1"/>
  <c r="BE54" i="13" s="1"/>
  <c r="BE55" i="13" s="1"/>
  <c r="BE56" i="13" s="1"/>
  <c r="BC32" i="13"/>
  <c r="BC33" i="13" s="1"/>
  <c r="BC34" i="13" s="1"/>
  <c r="BC35" i="13" s="1"/>
  <c r="BC36" i="13" s="1"/>
  <c r="BC37" i="13" s="1"/>
  <c r="BC38" i="13" s="1"/>
  <c r="BC39" i="13" s="1"/>
  <c r="BC40" i="13" s="1"/>
  <c r="BC41" i="13" s="1"/>
  <c r="BC42" i="13" s="1"/>
  <c r="BC43" i="13" s="1"/>
  <c r="BC44" i="13" s="1"/>
  <c r="BC45" i="13" s="1"/>
  <c r="BC46" i="13" s="1"/>
  <c r="BC47" i="13" s="1"/>
  <c r="BC48" i="13" s="1"/>
  <c r="BC49" i="13" s="1"/>
  <c r="BC50" i="13" s="1"/>
  <c r="BC51" i="13" s="1"/>
  <c r="BC52" i="13" s="1"/>
  <c r="BC53" i="13" s="1"/>
  <c r="BC54" i="13" s="1"/>
  <c r="BC55" i="13" s="1"/>
  <c r="BC56" i="13" s="1"/>
  <c r="BE4" i="13"/>
  <c r="BE5" i="13" s="1"/>
  <c r="BE6" i="13" s="1"/>
  <c r="BE7" i="13" s="1"/>
  <c r="BE8" i="13" s="1"/>
  <c r="BE9" i="13" s="1"/>
  <c r="BE10" i="13" s="1"/>
  <c r="BE11" i="13" s="1"/>
  <c r="BE12" i="13" s="1"/>
  <c r="BE13" i="13" s="1"/>
  <c r="BE14" i="13" s="1"/>
  <c r="BE15" i="13" s="1"/>
  <c r="BE16" i="13" s="1"/>
  <c r="BE17" i="13" s="1"/>
  <c r="BE18" i="13" s="1"/>
  <c r="BE19" i="13" s="1"/>
  <c r="BE20" i="13" s="1"/>
  <c r="BE21" i="13" s="1"/>
  <c r="BE22" i="13" s="1"/>
  <c r="BE23" i="13" s="1"/>
  <c r="BE24" i="13" s="1"/>
  <c r="BE25" i="13" s="1"/>
  <c r="BE26" i="13" s="1"/>
  <c r="BE27" i="13" s="1"/>
  <c r="BE28" i="13" s="1"/>
  <c r="BC4" i="13"/>
  <c r="BC5" i="13" s="1"/>
  <c r="BC6" i="13" s="1"/>
  <c r="BC7" i="13" s="1"/>
  <c r="BC8" i="13" s="1"/>
  <c r="BC9" i="13" s="1"/>
  <c r="BC10" i="13" s="1"/>
  <c r="BC11" i="13" s="1"/>
  <c r="BC12" i="13" s="1"/>
  <c r="BC13" i="13" s="1"/>
  <c r="BC14" i="13" s="1"/>
  <c r="BC15" i="13" s="1"/>
  <c r="BC16" i="13" s="1"/>
  <c r="BC17" i="13" s="1"/>
  <c r="BC18" i="13" s="1"/>
  <c r="BC19" i="13" s="1"/>
  <c r="BC20" i="13" s="1"/>
  <c r="BC21" i="13" s="1"/>
  <c r="BC22" i="13" s="1"/>
  <c r="BC23" i="13" s="1"/>
  <c r="BC24" i="13" s="1"/>
  <c r="BC25" i="13" s="1"/>
  <c r="BC26" i="13" s="1"/>
  <c r="BC27" i="13" s="1"/>
  <c r="BC28" i="13" s="1"/>
  <c r="G5" i="14" l="1"/>
  <c r="BC154" i="13"/>
  <c r="BC155" i="13" s="1"/>
  <c r="BC156" i="13" s="1"/>
  <c r="BC157" i="13" s="1"/>
  <c r="BC158" i="13" s="1"/>
  <c r="BC159" i="13" s="1"/>
  <c r="BC160" i="13" s="1"/>
  <c r="BC161" i="13" s="1"/>
  <c r="BC162" i="13" s="1"/>
  <c r="BC163" i="13" s="1"/>
  <c r="BC164" i="13" s="1"/>
  <c r="BC165" i="13" s="1"/>
  <c r="BC166" i="13" s="1"/>
  <c r="BC167" i="13" s="1"/>
  <c r="BC168" i="13" s="1"/>
  <c r="G8" i="14"/>
  <c r="G6" i="14"/>
  <c r="G4" i="14"/>
  <c r="G3" i="14"/>
  <c r="G7" i="14"/>
  <c r="AY112" i="13"/>
  <c r="AY113" i="13" s="1"/>
  <c r="AY114" i="13" s="1"/>
  <c r="AY115" i="13" s="1"/>
  <c r="AY116" i="13" s="1"/>
  <c r="AY117" i="13" s="1"/>
  <c r="AY118" i="13" s="1"/>
  <c r="AY119" i="13" s="1"/>
  <c r="AY120" i="13" s="1"/>
  <c r="AY121" i="13" s="1"/>
  <c r="AW112" i="13"/>
  <c r="AW113" i="13" s="1"/>
  <c r="AW114" i="13" s="1"/>
  <c r="AW115" i="13" s="1"/>
  <c r="AW116" i="13" s="1"/>
  <c r="AW117" i="13" s="1"/>
  <c r="AW118" i="13" s="1"/>
  <c r="AW119" i="13" s="1"/>
  <c r="AW120" i="13" s="1"/>
  <c r="AW121" i="13" s="1"/>
  <c r="AS112" i="13"/>
  <c r="AS113" i="13" s="1"/>
  <c r="AS114" i="13" s="1"/>
  <c r="AS115" i="13" s="1"/>
  <c r="AS116" i="13" s="1"/>
  <c r="AS117" i="13" s="1"/>
  <c r="AS118" i="13" s="1"/>
  <c r="AS119" i="13" s="1"/>
  <c r="AS120" i="13" s="1"/>
  <c r="AS121" i="13" s="1"/>
  <c r="AS122" i="13" s="1"/>
  <c r="AS123" i="13" s="1"/>
  <c r="AS124" i="13" s="1"/>
  <c r="AS125" i="13" s="1"/>
  <c r="AS126" i="13" s="1"/>
  <c r="AS127" i="13" s="1"/>
  <c r="AS128" i="13" s="1"/>
  <c r="AS129" i="13" s="1"/>
  <c r="AS130" i="13" s="1"/>
  <c r="AS131" i="13" s="1"/>
  <c r="AS132" i="13" s="1"/>
  <c r="AS133" i="13" s="1"/>
  <c r="AS134" i="13" s="1"/>
  <c r="AS135" i="13" s="1"/>
  <c r="AS136" i="13" s="1"/>
  <c r="AS137" i="13" s="1"/>
  <c r="AS138" i="13" s="1"/>
  <c r="AS139" i="13" s="1"/>
  <c r="AS140" i="13" s="1"/>
  <c r="AS141" i="13" s="1"/>
  <c r="AU112" i="13"/>
  <c r="AU113" i="13" s="1"/>
  <c r="AU114" i="13" s="1"/>
  <c r="AU115" i="13" s="1"/>
  <c r="AU116" i="13" s="1"/>
  <c r="AU117" i="13" s="1"/>
  <c r="AU118" i="13" s="1"/>
  <c r="AU119" i="13" s="1"/>
  <c r="AU120" i="13" s="1"/>
  <c r="AU121" i="13" s="1"/>
  <c r="AU76" i="13"/>
  <c r="AU77" i="13" s="1"/>
  <c r="AU78" i="13" s="1"/>
  <c r="AU79" i="13" s="1"/>
  <c r="AU80" i="13" s="1"/>
  <c r="AU81" i="13" s="1"/>
  <c r="AU82" i="13" s="1"/>
  <c r="AU83" i="13" s="1"/>
  <c r="AU84" i="13" s="1"/>
  <c r="AU85" i="13" s="1"/>
  <c r="AU86" i="13" s="1"/>
  <c r="AU87" i="13" s="1"/>
  <c r="AU88" i="13" s="1"/>
  <c r="AU89" i="13" s="1"/>
  <c r="AU90" i="13" s="1"/>
  <c r="AS76" i="13"/>
  <c r="AS77" i="13" s="1"/>
  <c r="AS78" i="13" s="1"/>
  <c r="AS79" i="13" s="1"/>
  <c r="AS80" i="13" s="1"/>
  <c r="AS81" i="13" s="1"/>
  <c r="AS82" i="13" s="1"/>
  <c r="AS83" i="13" s="1"/>
  <c r="AS84" i="13" s="1"/>
  <c r="AS85" i="13" s="1"/>
  <c r="AS86" i="13" s="1"/>
  <c r="AS87" i="13" s="1"/>
  <c r="AS88" i="13" s="1"/>
  <c r="AS89" i="13" s="1"/>
  <c r="AS90" i="13" s="1"/>
  <c r="AW58" i="13"/>
  <c r="AW59" i="13" s="1"/>
  <c r="AW60" i="13" s="1"/>
  <c r="AW61" i="13" s="1"/>
  <c r="AW62" i="13" s="1"/>
  <c r="AW63" i="13" s="1"/>
  <c r="AW64" i="13" s="1"/>
  <c r="AW65" i="13" s="1"/>
  <c r="AW66" i="13" s="1"/>
  <c r="AW67" i="13" s="1"/>
  <c r="AW68" i="13" s="1"/>
  <c r="AW69" i="13" s="1"/>
  <c r="AW70" i="13" s="1"/>
  <c r="AW71" i="13" s="1"/>
  <c r="AW72" i="13" s="1"/>
  <c r="AU58" i="13"/>
  <c r="AU59" i="13" s="1"/>
  <c r="AU60" i="13" s="1"/>
  <c r="AU61" i="13" s="1"/>
  <c r="AU62" i="13" s="1"/>
  <c r="AU63" i="13" s="1"/>
  <c r="AU64" i="13" s="1"/>
  <c r="AU65" i="13" s="1"/>
  <c r="AU66" i="13" s="1"/>
  <c r="AU67" i="13" s="1"/>
  <c r="AU68" i="13" s="1"/>
  <c r="AU69" i="13" s="1"/>
  <c r="AU70" i="13" s="1"/>
  <c r="AU71" i="13" s="1"/>
  <c r="AU72" i="13" s="1"/>
  <c r="AS58" i="13"/>
  <c r="AS59" i="13" s="1"/>
  <c r="AS60" i="13" s="1"/>
  <c r="AS61" i="13" s="1"/>
  <c r="AS62" i="13" s="1"/>
  <c r="AS63" i="13" s="1"/>
  <c r="AS64" i="13" s="1"/>
  <c r="AS65" i="13" s="1"/>
  <c r="AS66" i="13" s="1"/>
  <c r="AS67" i="13" s="1"/>
  <c r="AS68" i="13" s="1"/>
  <c r="AS69" i="13" s="1"/>
  <c r="AS70" i="13" s="1"/>
  <c r="AS71" i="13" s="1"/>
  <c r="AS72" i="13" s="1"/>
  <c r="AU40" i="13"/>
  <c r="AU41" i="13" s="1"/>
  <c r="AU42" i="13" s="1"/>
  <c r="AU43" i="13" s="1"/>
  <c r="AU44" i="13" s="1"/>
  <c r="AU45" i="13" s="1"/>
  <c r="AU46" i="13" s="1"/>
  <c r="AU47" i="13" s="1"/>
  <c r="AU48" i="13" s="1"/>
  <c r="AU49" i="13" s="1"/>
  <c r="AU50" i="13" s="1"/>
  <c r="AU51" i="13" s="1"/>
  <c r="AU52" i="13" s="1"/>
  <c r="AU53" i="13" s="1"/>
  <c r="AU54" i="13" s="1"/>
  <c r="AS40" i="13"/>
  <c r="AS41" i="13" s="1"/>
  <c r="AS42" i="13" s="1"/>
  <c r="AS43" i="13" s="1"/>
  <c r="AS44" i="13" s="1"/>
  <c r="AS45" i="13" s="1"/>
  <c r="AS46" i="13" s="1"/>
  <c r="AS47" i="13" s="1"/>
  <c r="AS48" i="13" s="1"/>
  <c r="AS49" i="13" s="1"/>
  <c r="AS50" i="13" s="1"/>
  <c r="AS51" i="13" s="1"/>
  <c r="AS52" i="13" s="1"/>
  <c r="AS53" i="13" s="1"/>
  <c r="AS54" i="13" s="1"/>
  <c r="AS22" i="13"/>
  <c r="AS23" i="13" s="1"/>
  <c r="AS24" i="13" s="1"/>
  <c r="AS25" i="13" s="1"/>
  <c r="AS26" i="13" s="1"/>
  <c r="AS27" i="13" s="1"/>
  <c r="AS28" i="13" s="1"/>
  <c r="AS29" i="13" s="1"/>
  <c r="AS30" i="13" s="1"/>
  <c r="AS31" i="13" s="1"/>
  <c r="AS32" i="13" s="1"/>
  <c r="AS33" i="13" s="1"/>
  <c r="AS34" i="13" s="1"/>
  <c r="AS35" i="13" s="1"/>
  <c r="AS36" i="13" s="1"/>
  <c r="AU22" i="13"/>
  <c r="AU23" i="13" s="1"/>
  <c r="AU24" i="13" s="1"/>
  <c r="AU25" i="13" s="1"/>
  <c r="AU26" i="13" s="1"/>
  <c r="AU27" i="13" s="1"/>
  <c r="AU28" i="13" s="1"/>
  <c r="AU29" i="13" s="1"/>
  <c r="AU30" i="13" s="1"/>
  <c r="AU31" i="13" s="1"/>
  <c r="AU32" i="13" s="1"/>
  <c r="AU33" i="13" s="1"/>
  <c r="AU34" i="13" s="1"/>
  <c r="AU35" i="13" s="1"/>
  <c r="AU36" i="13" s="1"/>
  <c r="AM126" i="13"/>
  <c r="AM127" i="13" s="1"/>
  <c r="AM128" i="13" s="1"/>
  <c r="AM129" i="13" s="1"/>
  <c r="AM130" i="13" s="1"/>
  <c r="AM131" i="13" s="1"/>
  <c r="AM132" i="13" s="1"/>
  <c r="AM133" i="13" s="1"/>
  <c r="AM134" i="13" s="1"/>
  <c r="AM135" i="13" s="1"/>
  <c r="AM136" i="13" s="1"/>
  <c r="AM137" i="13" s="1"/>
  <c r="AM138" i="13" s="1"/>
  <c r="AM139" i="13" s="1"/>
  <c r="AM140" i="13" s="1"/>
  <c r="AM141" i="13" s="1"/>
  <c r="AM142" i="13" s="1"/>
  <c r="AM143" i="13" s="1"/>
  <c r="AM144" i="13" s="1"/>
  <c r="AM145" i="13" s="1"/>
  <c r="AM146" i="13" s="1"/>
  <c r="AM147" i="13" s="1"/>
  <c r="AM148" i="13" s="1"/>
  <c r="AM149" i="13" s="1"/>
  <c r="AM150" i="13" s="1"/>
  <c r="AM151" i="13" s="1"/>
  <c r="AM152" i="13" s="1"/>
  <c r="AM153" i="13" s="1"/>
  <c r="AM154" i="13" s="1"/>
  <c r="AM155" i="13" s="1"/>
  <c r="AK126" i="13"/>
  <c r="AK127" i="13" s="1"/>
  <c r="AK128" i="13" s="1"/>
  <c r="AK129" i="13" s="1"/>
  <c r="AK130" i="13" s="1"/>
  <c r="AK131" i="13" s="1"/>
  <c r="AK132" i="13" s="1"/>
  <c r="AK133" i="13" s="1"/>
  <c r="AK134" i="13" s="1"/>
  <c r="AK135" i="13" s="1"/>
  <c r="AK136" i="13" s="1"/>
  <c r="AK137" i="13" s="1"/>
  <c r="AK138" i="13" s="1"/>
  <c r="AK139" i="13" s="1"/>
  <c r="AK140" i="13" s="1"/>
  <c r="AK141" i="13" s="1"/>
  <c r="AK142" i="13" s="1"/>
  <c r="AK143" i="13" s="1"/>
  <c r="AK144" i="13" s="1"/>
  <c r="AK145" i="13" s="1"/>
  <c r="AK146" i="13" s="1"/>
  <c r="AK147" i="13" s="1"/>
  <c r="AK148" i="13" s="1"/>
  <c r="AK149" i="13" s="1"/>
  <c r="AK150" i="13" s="1"/>
  <c r="AK151" i="13" s="1"/>
  <c r="AK152" i="13" s="1"/>
  <c r="AK153" i="13" s="1"/>
  <c r="AK154" i="13" s="1"/>
  <c r="AK155" i="13" s="1"/>
  <c r="AI126" i="13"/>
  <c r="AI127" i="13" s="1"/>
  <c r="AI128" i="13" s="1"/>
  <c r="AI129" i="13" s="1"/>
  <c r="AI130" i="13" s="1"/>
  <c r="AI131" i="13" s="1"/>
  <c r="AI132" i="13" s="1"/>
  <c r="AI133" i="13" s="1"/>
  <c r="AI134" i="13" s="1"/>
  <c r="AI135" i="13" s="1"/>
  <c r="AG126" i="13"/>
  <c r="AG127" i="13" s="1"/>
  <c r="AG128" i="13" s="1"/>
  <c r="AG129" i="13" s="1"/>
  <c r="AG130" i="13" s="1"/>
  <c r="AG131" i="13" s="1"/>
  <c r="AG132" i="13" s="1"/>
  <c r="AG133" i="13" s="1"/>
  <c r="AG134" i="13" s="1"/>
  <c r="AG135" i="13" s="1"/>
  <c r="AG93" i="13"/>
  <c r="AG94" i="13" s="1"/>
  <c r="AG95" i="13" s="1"/>
  <c r="AG96" i="13" s="1"/>
  <c r="AG97" i="13" s="1"/>
  <c r="AG98" i="13" s="1"/>
  <c r="AG99" i="13" s="1"/>
  <c r="AG100" i="13" s="1"/>
  <c r="AG101" i="13" s="1"/>
  <c r="AG102" i="13" s="1"/>
  <c r="AI93" i="13"/>
  <c r="AI94" i="13" s="1"/>
  <c r="AI95" i="13" s="1"/>
  <c r="AI96" i="13" s="1"/>
  <c r="AI97" i="13" s="1"/>
  <c r="AI98" i="13" s="1"/>
  <c r="AI99" i="13" s="1"/>
  <c r="AI100" i="13" s="1"/>
  <c r="AI101" i="13" s="1"/>
  <c r="AI102" i="13" s="1"/>
  <c r="AI103" i="13" s="1"/>
  <c r="AI104" i="13" s="1"/>
  <c r="AI105" i="13" s="1"/>
  <c r="AI106" i="13" s="1"/>
  <c r="AI107" i="13" s="1"/>
  <c r="AI108" i="13" s="1"/>
  <c r="AI109" i="13" s="1"/>
  <c r="AI110" i="13" s="1"/>
  <c r="AI111" i="13" s="1"/>
  <c r="AI112" i="13" s="1"/>
  <c r="AI113" i="13" s="1"/>
  <c r="AI114" i="13" s="1"/>
  <c r="AI115" i="13" s="1"/>
  <c r="AI116" i="13" s="1"/>
  <c r="AI117" i="13" s="1"/>
  <c r="AI118" i="13" s="1"/>
  <c r="AI119" i="13" s="1"/>
  <c r="AO60" i="13"/>
  <c r="AO61" i="13" s="1"/>
  <c r="AO62" i="13" s="1"/>
  <c r="AO63" i="13" s="1"/>
  <c r="AO64" i="13" s="1"/>
  <c r="AO65" i="13" s="1"/>
  <c r="AO66" i="13" s="1"/>
  <c r="AO67" i="13" s="1"/>
  <c r="AO68" i="13" s="1"/>
  <c r="AO69" i="13" s="1"/>
  <c r="AO70" i="13" s="1"/>
  <c r="AO71" i="13" s="1"/>
  <c r="AO72" i="13" s="1"/>
  <c r="AO73" i="13" s="1"/>
  <c r="AO74" i="13" s="1"/>
  <c r="AO75" i="13" s="1"/>
  <c r="AO76" i="13" s="1"/>
  <c r="AO77" i="13" s="1"/>
  <c r="AO78" i="13" s="1"/>
  <c r="AO79" i="13" s="1"/>
  <c r="AO80" i="13" s="1"/>
  <c r="AO81" i="13" s="1"/>
  <c r="AO82" i="13" s="1"/>
  <c r="AO83" i="13" s="1"/>
  <c r="AO84" i="13" s="1"/>
  <c r="AO85" i="13" s="1"/>
  <c r="AO86" i="13" s="1"/>
  <c r="AO87" i="13" s="1"/>
  <c r="AO88" i="13" s="1"/>
  <c r="AO89" i="13" s="1"/>
  <c r="AM60" i="13"/>
  <c r="AM61" i="13" s="1"/>
  <c r="AM62" i="13" s="1"/>
  <c r="AM63" i="13" s="1"/>
  <c r="AM64" i="13" s="1"/>
  <c r="AM65" i="13" s="1"/>
  <c r="AM66" i="13" s="1"/>
  <c r="AM67" i="13" s="1"/>
  <c r="AM68" i="13" s="1"/>
  <c r="AM69" i="13" s="1"/>
  <c r="AM70" i="13" s="1"/>
  <c r="AM71" i="13" s="1"/>
  <c r="AM72" i="13" s="1"/>
  <c r="AM73" i="13" s="1"/>
  <c r="AM74" i="13" s="1"/>
  <c r="AM75" i="13" s="1"/>
  <c r="AM76" i="13" s="1"/>
  <c r="AM77" i="13" s="1"/>
  <c r="AM78" i="13" s="1"/>
  <c r="AM79" i="13" s="1"/>
  <c r="AM80" i="13" s="1"/>
  <c r="AM81" i="13" s="1"/>
  <c r="AM82" i="13" s="1"/>
  <c r="AM83" i="13" s="1"/>
  <c r="AM84" i="13" s="1"/>
  <c r="AM85" i="13" s="1"/>
  <c r="AM86" i="13" s="1"/>
  <c r="AM87" i="13" s="1"/>
  <c r="AM88" i="13" s="1"/>
  <c r="AM89" i="13" s="1"/>
  <c r="AK60" i="13"/>
  <c r="AK61" i="13" s="1"/>
  <c r="AK62" i="13" s="1"/>
  <c r="AK63" i="13" s="1"/>
  <c r="AK64" i="13" s="1"/>
  <c r="AK65" i="13" s="1"/>
  <c r="AK66" i="13" s="1"/>
  <c r="AK67" i="13" s="1"/>
  <c r="AK68" i="13" s="1"/>
  <c r="AK69" i="13" s="1"/>
  <c r="AK70" i="13" s="1"/>
  <c r="AK71" i="13" s="1"/>
  <c r="AK72" i="13" s="1"/>
  <c r="AK73" i="13" s="1"/>
  <c r="AK74" i="13" s="1"/>
  <c r="AK75" i="13" s="1"/>
  <c r="AK76" i="13" s="1"/>
  <c r="AK77" i="13" s="1"/>
  <c r="AK78" i="13" s="1"/>
  <c r="AK79" i="13" s="1"/>
  <c r="AK80" i="13" s="1"/>
  <c r="AK81" i="13" s="1"/>
  <c r="AK82" i="13" s="1"/>
  <c r="AK83" i="13" s="1"/>
  <c r="AK84" i="13" s="1"/>
  <c r="AK85" i="13" s="1"/>
  <c r="AK86" i="13" s="1"/>
  <c r="AK87" i="13" s="1"/>
  <c r="AK88" i="13" s="1"/>
  <c r="AK89" i="13" s="1"/>
  <c r="AI60" i="13"/>
  <c r="AI61" i="13" s="1"/>
  <c r="AI62" i="13" s="1"/>
  <c r="AI63" i="13" s="1"/>
  <c r="AI64" i="13" s="1"/>
  <c r="AI65" i="13" s="1"/>
  <c r="AI66" i="13" s="1"/>
  <c r="AI67" i="13" s="1"/>
  <c r="AI68" i="13" s="1"/>
  <c r="AI69" i="13" s="1"/>
  <c r="AI70" i="13" s="1"/>
  <c r="AI71" i="13" s="1"/>
  <c r="AI72" i="13" s="1"/>
  <c r="AI73" i="13" s="1"/>
  <c r="AI74" i="13" s="1"/>
  <c r="AI75" i="13" s="1"/>
  <c r="AI76" i="13" s="1"/>
  <c r="AI77" i="13" s="1"/>
  <c r="AI78" i="13" s="1"/>
  <c r="AI79" i="13" s="1"/>
  <c r="AI80" i="13" s="1"/>
  <c r="AI81" i="13" s="1"/>
  <c r="AI82" i="13" s="1"/>
  <c r="AI83" i="13" s="1"/>
  <c r="AI84" i="13" s="1"/>
  <c r="AI85" i="13" s="1"/>
  <c r="AI86" i="13" s="1"/>
  <c r="AI87" i="13" s="1"/>
  <c r="AI88" i="13" s="1"/>
  <c r="AI89" i="13" s="1"/>
  <c r="AG60" i="13"/>
  <c r="AG61" i="13" s="1"/>
  <c r="AG62" i="13" s="1"/>
  <c r="AG63" i="13" s="1"/>
  <c r="AG64" i="13" s="1"/>
  <c r="AG65" i="13" s="1"/>
  <c r="AG66" i="13" s="1"/>
  <c r="AG67" i="13" s="1"/>
  <c r="AG68" i="13" s="1"/>
  <c r="AG69" i="13" s="1"/>
  <c r="AG70" i="13" s="1"/>
  <c r="AG71" i="13" s="1"/>
  <c r="AG72" i="13" s="1"/>
  <c r="AG73" i="13" s="1"/>
  <c r="AG74" i="13" s="1"/>
  <c r="AG75" i="13" s="1"/>
  <c r="AG76" i="13" s="1"/>
  <c r="AG77" i="13" s="1"/>
  <c r="AG78" i="13" s="1"/>
  <c r="AG79" i="13" s="1"/>
  <c r="AG80" i="13" s="1"/>
  <c r="AG81" i="13" s="1"/>
  <c r="AG82" i="13" s="1"/>
  <c r="AG83" i="13" s="1"/>
  <c r="AG84" i="13" s="1"/>
  <c r="AG85" i="13" s="1"/>
  <c r="AG86" i="13" s="1"/>
  <c r="AG87" i="13" s="1"/>
  <c r="AG88" i="13" s="1"/>
  <c r="AG89" i="13" s="1"/>
  <c r="AG27" i="13"/>
  <c r="AG28" i="13" s="1"/>
  <c r="AG29" i="13" s="1"/>
  <c r="AG30" i="13" s="1"/>
  <c r="AG31" i="13" s="1"/>
  <c r="AG32" i="13" s="1"/>
  <c r="AG33" i="13" s="1"/>
  <c r="AG34" i="13" s="1"/>
  <c r="AG35" i="13" s="1"/>
  <c r="AG36" i="13" s="1"/>
  <c r="AG37" i="13" s="1"/>
  <c r="AG38" i="13" s="1"/>
  <c r="AG39" i="13" s="1"/>
  <c r="AG40" i="13" s="1"/>
  <c r="AG41" i="13" s="1"/>
  <c r="AG42" i="13" s="1"/>
  <c r="AG43" i="13" s="1"/>
  <c r="AG44" i="13" s="1"/>
  <c r="AG45" i="13" s="1"/>
  <c r="AG46" i="13" s="1"/>
  <c r="AG47" i="13" s="1"/>
  <c r="AG48" i="13" s="1"/>
  <c r="AG49" i="13" s="1"/>
  <c r="AG50" i="13" s="1"/>
  <c r="AG51" i="13" s="1"/>
  <c r="AG52" i="13" s="1"/>
  <c r="AG53" i="13" s="1"/>
  <c r="AG54" i="13" s="1"/>
  <c r="AG55" i="13" s="1"/>
  <c r="AG56" i="13" s="1"/>
  <c r="AI27" i="13"/>
  <c r="AI28" i="13" s="1"/>
  <c r="AI29" i="13" s="1"/>
  <c r="AI30" i="13" s="1"/>
  <c r="AI31" i="13" s="1"/>
  <c r="AI32" i="13" s="1"/>
  <c r="AI33" i="13" s="1"/>
  <c r="AI34" i="13" s="1"/>
  <c r="AI35" i="13" s="1"/>
  <c r="AI36" i="13" s="1"/>
  <c r="AI37" i="13" s="1"/>
  <c r="AI38" i="13" s="1"/>
  <c r="AI39" i="13" s="1"/>
  <c r="AI40" i="13" s="1"/>
  <c r="AI41" i="13" s="1"/>
  <c r="AI42" i="13" s="1"/>
  <c r="AI43" i="13" s="1"/>
  <c r="AI44" i="13" s="1"/>
  <c r="AI45" i="13" s="1"/>
  <c r="AI46" i="13" s="1"/>
  <c r="AI47" i="13" s="1"/>
  <c r="AI48" i="13" s="1"/>
  <c r="AI49" i="13" s="1"/>
  <c r="AI50" i="13" s="1"/>
  <c r="AI51" i="13" s="1"/>
  <c r="AI52" i="13" s="1"/>
  <c r="AI53" i="13" s="1"/>
  <c r="AI54" i="13" s="1"/>
  <c r="AI55" i="13" s="1"/>
  <c r="AI56" i="13" s="1"/>
  <c r="AI4" i="13"/>
  <c r="AI5" i="13" s="1"/>
  <c r="AI6" i="13" s="1"/>
  <c r="AI7" i="13" s="1"/>
  <c r="AI8" i="13" s="1"/>
  <c r="AI9" i="13" s="1"/>
  <c r="AI10" i="13" s="1"/>
  <c r="AI11" i="13" s="1"/>
  <c r="AI12" i="13" s="1"/>
  <c r="AI13" i="13" s="1"/>
  <c r="AI14" i="13" s="1"/>
  <c r="AI15" i="13" s="1"/>
  <c r="AI16" i="13" s="1"/>
  <c r="AI17" i="13" s="1"/>
  <c r="AI18" i="13" s="1"/>
  <c r="AI19" i="13" s="1"/>
  <c r="AI20" i="13" s="1"/>
  <c r="AI21" i="13" s="1"/>
  <c r="AI22" i="13" s="1"/>
  <c r="AI23" i="13" s="1"/>
  <c r="AG4" i="13"/>
  <c r="AG5" i="13" s="1"/>
  <c r="AG6" i="13" s="1"/>
  <c r="AG7" i="13" s="1"/>
  <c r="AG8" i="13" s="1"/>
  <c r="AG9" i="13" s="1"/>
  <c r="AG10" i="13" s="1"/>
  <c r="AG11" i="13" s="1"/>
  <c r="AG12" i="13" s="1"/>
  <c r="AG13" i="13" s="1"/>
  <c r="AG14" i="13" s="1"/>
  <c r="AG15" i="13" s="1"/>
  <c r="AG16" i="13" s="1"/>
  <c r="AG17" i="13" s="1"/>
  <c r="AG18" i="13" s="1"/>
  <c r="AG19" i="13" s="1"/>
  <c r="AG20" i="13" s="1"/>
  <c r="AG21" i="13" s="1"/>
  <c r="AG22" i="13" s="1"/>
  <c r="AG23" i="13" s="1"/>
  <c r="AA217" i="13"/>
  <c r="AA218" i="13" s="1"/>
  <c r="AA219" i="13" s="1"/>
  <c r="AA220" i="13" s="1"/>
  <c r="AA221" i="13" s="1"/>
  <c r="AA222" i="13" s="1"/>
  <c r="AA223" i="13" s="1"/>
  <c r="AA224" i="13" s="1"/>
  <c r="AA225" i="13" s="1"/>
  <c r="AA226" i="13" s="1"/>
  <c r="AA227" i="13" s="1"/>
  <c r="AA228" i="13" s="1"/>
  <c r="AA229" i="13" s="1"/>
  <c r="AA230" i="13" s="1"/>
  <c r="AA231" i="13" s="1"/>
  <c r="AA232" i="13" s="1"/>
  <c r="AA233" i="13" s="1"/>
  <c r="AA234" i="13" s="1"/>
  <c r="AA235" i="13" s="1"/>
  <c r="AA236" i="13" s="1"/>
  <c r="AA237" i="13" s="1"/>
  <c r="AA238" i="13" s="1"/>
  <c r="AA239" i="13" s="1"/>
  <c r="AA240" i="13" s="1"/>
  <c r="AA241" i="13" s="1"/>
  <c r="AA242" i="13" s="1"/>
  <c r="AA243" i="13" s="1"/>
  <c r="AA244" i="13" s="1"/>
  <c r="AA245" i="13" s="1"/>
  <c r="AA246" i="13" s="1"/>
  <c r="Y217" i="13"/>
  <c r="Y218" i="13" s="1"/>
  <c r="Y219" i="13" s="1"/>
  <c r="Y220" i="13" s="1"/>
  <c r="Y221" i="13" s="1"/>
  <c r="Y222" i="13" s="1"/>
  <c r="Y223" i="13" s="1"/>
  <c r="Y224" i="13" s="1"/>
  <c r="Y225" i="13" s="1"/>
  <c r="Y226" i="13" s="1"/>
  <c r="U217" i="13"/>
  <c r="U218" i="13" s="1"/>
  <c r="U219" i="13" s="1"/>
  <c r="U220" i="13" s="1"/>
  <c r="U221" i="13" s="1"/>
  <c r="U222" i="13" s="1"/>
  <c r="U223" i="13" s="1"/>
  <c r="U224" i="13" s="1"/>
  <c r="U225" i="13" s="1"/>
  <c r="U226" i="13" s="1"/>
  <c r="U227" i="13" s="1"/>
  <c r="U228" i="13" s="1"/>
  <c r="U229" i="13" s="1"/>
  <c r="U230" i="13" s="1"/>
  <c r="U231" i="13" s="1"/>
  <c r="U232" i="13" s="1"/>
  <c r="U233" i="13" s="1"/>
  <c r="U234" i="13" s="1"/>
  <c r="U235" i="13" s="1"/>
  <c r="U236" i="13" s="1"/>
  <c r="U237" i="13" s="1"/>
  <c r="U238" i="13" s="1"/>
  <c r="U239" i="13" s="1"/>
  <c r="U240" i="13" s="1"/>
  <c r="U241" i="13" s="1"/>
  <c r="S217" i="13"/>
  <c r="S218" i="13" s="1"/>
  <c r="S219" i="13" s="1"/>
  <c r="S220" i="13" s="1"/>
  <c r="S221" i="13" s="1"/>
  <c r="S222" i="13" s="1"/>
  <c r="S223" i="13" s="1"/>
  <c r="S224" i="13" s="1"/>
  <c r="S225" i="13" s="1"/>
  <c r="S226" i="13" s="1"/>
  <c r="S227" i="13" s="1"/>
  <c r="S228" i="13" s="1"/>
  <c r="S229" i="13" s="1"/>
  <c r="S230" i="13" s="1"/>
  <c r="S231" i="13" s="1"/>
  <c r="S232" i="13" s="1"/>
  <c r="S233" i="13" s="1"/>
  <c r="S234" i="13" s="1"/>
  <c r="S235" i="13" s="1"/>
  <c r="S236" i="13" s="1"/>
  <c r="S237" i="13" s="1"/>
  <c r="S238" i="13" s="1"/>
  <c r="S239" i="13" s="1"/>
  <c r="S240" i="13" s="1"/>
  <c r="S241" i="13" s="1"/>
  <c r="S103" i="13"/>
  <c r="S104" i="13" s="1"/>
  <c r="S105" i="13" s="1"/>
  <c r="S106" i="13" s="1"/>
  <c r="S107" i="13" s="1"/>
  <c r="S108" i="13" s="1"/>
  <c r="S109" i="13" s="1"/>
  <c r="S110" i="13" s="1"/>
  <c r="S111" i="13" s="1"/>
  <c r="S112" i="13" s="1"/>
  <c r="S113" i="13" s="1"/>
  <c r="S114" i="13" s="1"/>
  <c r="S115" i="13" s="1"/>
  <c r="S116" i="13" s="1"/>
  <c r="S117" i="13" s="1"/>
  <c r="S118" i="13" s="1"/>
  <c r="S119" i="13" s="1"/>
  <c r="S120" i="13" s="1"/>
  <c r="S121" i="13" s="1"/>
  <c r="S122" i="13" s="1"/>
  <c r="S123" i="13" s="1"/>
  <c r="S124" i="13" s="1"/>
  <c r="S125" i="13" s="1"/>
  <c r="S126" i="13" s="1"/>
  <c r="S127" i="13" s="1"/>
  <c r="S128" i="13" s="1"/>
  <c r="S129" i="13" s="1"/>
  <c r="S130" i="13" s="1"/>
  <c r="S131" i="13" s="1"/>
  <c r="S132" i="13" s="1"/>
  <c r="S133" i="13" s="1"/>
  <c r="S134" i="13" s="1"/>
  <c r="S135" i="13" s="1"/>
  <c r="S136" i="13" s="1"/>
  <c r="S137" i="13" s="1"/>
  <c r="U103" i="13"/>
  <c r="U104" i="13" s="1"/>
  <c r="U105" i="13" s="1"/>
  <c r="U106" i="13" s="1"/>
  <c r="U107" i="13" s="1"/>
  <c r="U108" i="13" s="1"/>
  <c r="U109" i="13" s="1"/>
  <c r="U110" i="13" s="1"/>
  <c r="U111" i="13" s="1"/>
  <c r="U112" i="13" s="1"/>
  <c r="U113" i="13" s="1"/>
  <c r="U114" i="13" s="1"/>
  <c r="U115" i="13" s="1"/>
  <c r="U116" i="13" s="1"/>
  <c r="U117" i="13" s="1"/>
  <c r="U118" i="13" s="1"/>
  <c r="U119" i="13" s="1"/>
  <c r="U120" i="13" s="1"/>
  <c r="U121" i="13" s="1"/>
  <c r="U122" i="13" s="1"/>
  <c r="U123" i="13" s="1"/>
  <c r="U124" i="13" s="1"/>
  <c r="U125" i="13" s="1"/>
  <c r="U126" i="13" s="1"/>
  <c r="U127" i="13" s="1"/>
  <c r="U128" i="13" s="1"/>
  <c r="U129" i="13" s="1"/>
  <c r="U130" i="13" s="1"/>
  <c r="U131" i="13" s="1"/>
  <c r="U132" i="13" s="1"/>
  <c r="U133" i="13" s="1"/>
  <c r="U134" i="13" s="1"/>
  <c r="W103" i="13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S179" i="13"/>
  <c r="S180" i="13" s="1"/>
  <c r="S181" i="13" s="1"/>
  <c r="S182" i="13" s="1"/>
  <c r="S183" i="13" s="1"/>
  <c r="S184" i="13" s="1"/>
  <c r="S185" i="13" s="1"/>
  <c r="S186" i="13" s="1"/>
  <c r="S187" i="13" s="1"/>
  <c r="S188" i="13" s="1"/>
  <c r="S189" i="13" s="1"/>
  <c r="S190" i="13" s="1"/>
  <c r="S191" i="13" s="1"/>
  <c r="S192" i="13" s="1"/>
  <c r="S193" i="13" s="1"/>
  <c r="S194" i="13" s="1"/>
  <c r="S195" i="13" s="1"/>
  <c r="S196" i="13" s="1"/>
  <c r="S197" i="13" s="1"/>
  <c r="S198" i="13" s="1"/>
  <c r="S199" i="13" s="1"/>
  <c r="S200" i="13" s="1"/>
  <c r="S201" i="13" s="1"/>
  <c r="S202" i="13" s="1"/>
  <c r="S203" i="13" s="1"/>
  <c r="S204" i="13" s="1"/>
  <c r="S205" i="13" s="1"/>
  <c r="S206" i="13" s="1"/>
  <c r="S207" i="13" s="1"/>
  <c r="S208" i="13" s="1"/>
  <c r="S209" i="13" s="1"/>
  <c r="S210" i="13" s="1"/>
  <c r="S211" i="13" s="1"/>
  <c r="S212" i="13" s="1"/>
  <c r="S213" i="13" s="1"/>
  <c r="S141" i="13"/>
  <c r="S142" i="13" s="1"/>
  <c r="S143" i="13" s="1"/>
  <c r="S144" i="13" s="1"/>
  <c r="S145" i="13" s="1"/>
  <c r="S146" i="13" s="1"/>
  <c r="S147" i="13" s="1"/>
  <c r="S148" i="13" s="1"/>
  <c r="S149" i="13" s="1"/>
  <c r="S150" i="13" s="1"/>
  <c r="S151" i="13" s="1"/>
  <c r="S152" i="13" s="1"/>
  <c r="S153" i="13" s="1"/>
  <c r="S154" i="13" s="1"/>
  <c r="S155" i="13" s="1"/>
  <c r="S156" i="13" s="1"/>
  <c r="S157" i="13" s="1"/>
  <c r="S158" i="13" s="1"/>
  <c r="S159" i="13" s="1"/>
  <c r="S160" i="13" s="1"/>
  <c r="S161" i="13" s="1"/>
  <c r="S162" i="13" s="1"/>
  <c r="S163" i="13" s="1"/>
  <c r="S164" i="13" s="1"/>
  <c r="S165" i="13" s="1"/>
  <c r="S166" i="13" s="1"/>
  <c r="S167" i="13" s="1"/>
  <c r="S168" i="13" s="1"/>
  <c r="S169" i="13" s="1"/>
  <c r="S170" i="13" s="1"/>
  <c r="S171" i="13" s="1"/>
  <c r="S172" i="13" s="1"/>
  <c r="S173" i="13" s="1"/>
  <c r="S174" i="13" s="1"/>
  <c r="S175" i="13" s="1"/>
  <c r="U141" i="13"/>
  <c r="U142" i="13" s="1"/>
  <c r="U143" i="13" s="1"/>
  <c r="U144" i="13" s="1"/>
  <c r="U145" i="13" s="1"/>
  <c r="U146" i="13" s="1"/>
  <c r="U147" i="13" s="1"/>
  <c r="U148" i="13" s="1"/>
  <c r="U149" i="13" s="1"/>
  <c r="U150" i="13" s="1"/>
  <c r="U151" i="13" s="1"/>
  <c r="U152" i="13" s="1"/>
  <c r="U153" i="13" s="1"/>
  <c r="U154" i="13" s="1"/>
  <c r="U155" i="13" s="1"/>
  <c r="U156" i="13" s="1"/>
  <c r="U157" i="13" s="1"/>
  <c r="U158" i="13" s="1"/>
  <c r="U159" i="13" s="1"/>
  <c r="U160" i="13" s="1"/>
  <c r="U161" i="13" s="1"/>
  <c r="U162" i="13" s="1"/>
  <c r="U163" i="13" s="1"/>
  <c r="U164" i="13" s="1"/>
  <c r="U165" i="13" s="1"/>
  <c r="U166" i="13" s="1"/>
  <c r="U167" i="13" s="1"/>
  <c r="U168" i="13" s="1"/>
  <c r="U169" i="13" s="1"/>
  <c r="U170" i="13" s="1"/>
  <c r="U171" i="13" s="1"/>
  <c r="U172" i="13" s="1"/>
  <c r="U173" i="13" s="1"/>
  <c r="U174" i="13" s="1"/>
  <c r="U175" i="13" s="1"/>
  <c r="W141" i="13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U179" i="13"/>
  <c r="U180" i="13" s="1"/>
  <c r="U181" i="13" s="1"/>
  <c r="U182" i="13" s="1"/>
  <c r="U183" i="13" s="1"/>
  <c r="U184" i="13" s="1"/>
  <c r="U185" i="13" s="1"/>
  <c r="U186" i="13" s="1"/>
  <c r="U187" i="13" s="1"/>
  <c r="U188" i="13" s="1"/>
  <c r="U189" i="13" s="1"/>
  <c r="U190" i="13" s="1"/>
  <c r="U191" i="13" s="1"/>
  <c r="U192" i="13" s="1"/>
  <c r="U193" i="13" s="1"/>
  <c r="U194" i="13" s="1"/>
  <c r="U195" i="13" s="1"/>
  <c r="U196" i="13" s="1"/>
  <c r="U197" i="13" s="1"/>
  <c r="U198" i="13" s="1"/>
  <c r="U199" i="13" s="1"/>
  <c r="U200" i="13" s="1"/>
  <c r="U201" i="13" s="1"/>
  <c r="U202" i="13" s="1"/>
  <c r="U203" i="13" s="1"/>
  <c r="U204" i="13" s="1"/>
  <c r="U205" i="13" s="1"/>
  <c r="U206" i="13" s="1"/>
  <c r="U207" i="13" s="1"/>
  <c r="U208" i="13" s="1"/>
  <c r="U209" i="13" s="1"/>
  <c r="U210" i="13" s="1"/>
  <c r="U211" i="13" s="1"/>
  <c r="U212" i="13" s="1"/>
  <c r="U213" i="13" s="1"/>
  <c r="W179" i="13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AA70" i="13"/>
  <c r="AA71" i="13" s="1"/>
  <c r="AA72" i="13" s="1"/>
  <c r="AA73" i="13" s="1"/>
  <c r="AA74" i="13" s="1"/>
  <c r="AA75" i="13" s="1"/>
  <c r="AA76" i="13" s="1"/>
  <c r="AA77" i="13" s="1"/>
  <c r="AA78" i="13" s="1"/>
  <c r="AA79" i="13" s="1"/>
  <c r="AA80" i="13" s="1"/>
  <c r="AA81" i="13" s="1"/>
  <c r="AA82" i="13" s="1"/>
  <c r="AA83" i="13" s="1"/>
  <c r="AA84" i="13" s="1"/>
  <c r="AA85" i="13" s="1"/>
  <c r="Y70" i="13"/>
  <c r="Y71" i="13" s="1"/>
  <c r="Y72" i="13" s="1"/>
  <c r="Y73" i="13" s="1"/>
  <c r="Y74" i="13" s="1"/>
  <c r="Y75" i="13" s="1"/>
  <c r="Y76" i="13" s="1"/>
  <c r="Y77" i="13" s="1"/>
  <c r="Y78" i="13" s="1"/>
  <c r="Y79" i="13" s="1"/>
  <c r="S70" i="13"/>
  <c r="S71" i="13" s="1"/>
  <c r="S72" i="13" s="1"/>
  <c r="S73" i="13" s="1"/>
  <c r="S74" i="13" s="1"/>
  <c r="S75" i="13" s="1"/>
  <c r="S76" i="13" s="1"/>
  <c r="S77" i="13" s="1"/>
  <c r="S78" i="13" s="1"/>
  <c r="S79" i="13" s="1"/>
  <c r="S80" i="13" s="1"/>
  <c r="S81" i="13" s="1"/>
  <c r="S82" i="13" s="1"/>
  <c r="S83" i="13" s="1"/>
  <c r="S84" i="13" s="1"/>
  <c r="S85" i="13" s="1"/>
  <c r="S86" i="13" s="1"/>
  <c r="S87" i="13" s="1"/>
  <c r="S88" i="13" s="1"/>
  <c r="S89" i="13" s="1"/>
  <c r="S90" i="13" s="1"/>
  <c r="S91" i="13" s="1"/>
  <c r="S92" i="13" s="1"/>
  <c r="S93" i="13" s="1"/>
  <c r="S94" i="13" s="1"/>
  <c r="S95" i="13" s="1"/>
  <c r="S96" i="13" s="1"/>
  <c r="S97" i="13" s="1"/>
  <c r="S98" i="13" s="1"/>
  <c r="S99" i="13" s="1"/>
  <c r="AA37" i="13"/>
  <c r="AA38" i="13" s="1"/>
  <c r="AA39" i="13" s="1"/>
  <c r="AA40" i="13" s="1"/>
  <c r="AA41" i="13" s="1"/>
  <c r="AA42" i="13" s="1"/>
  <c r="AA43" i="13" s="1"/>
  <c r="AA44" i="13" s="1"/>
  <c r="AA45" i="13" s="1"/>
  <c r="AA46" i="13" s="1"/>
  <c r="AA47" i="13" s="1"/>
  <c r="AA48" i="13" s="1"/>
  <c r="AA49" i="13" s="1"/>
  <c r="AA50" i="13" s="1"/>
  <c r="AA51" i="13" s="1"/>
  <c r="Y37" i="13"/>
  <c r="Y38" i="13" s="1"/>
  <c r="Y39" i="13" s="1"/>
  <c r="Y40" i="13" s="1"/>
  <c r="Y41" i="13" s="1"/>
  <c r="Y42" i="13" s="1"/>
  <c r="Y43" i="13" s="1"/>
  <c r="Y44" i="13" s="1"/>
  <c r="Y45" i="13" s="1"/>
  <c r="Y46" i="13" s="1"/>
  <c r="Y47" i="13" s="1"/>
  <c r="Y48" i="13" s="1"/>
  <c r="Y49" i="13" s="1"/>
  <c r="Y50" i="13" s="1"/>
  <c r="Y51" i="13" s="1"/>
  <c r="Y52" i="13" s="1"/>
  <c r="Y53" i="13" s="1"/>
  <c r="Y54" i="13" s="1"/>
  <c r="Y55" i="13" s="1"/>
  <c r="Y56" i="13" s="1"/>
  <c r="Y57" i="13" s="1"/>
  <c r="Y58" i="13" s="1"/>
  <c r="Y59" i="13" s="1"/>
  <c r="Y60" i="13" s="1"/>
  <c r="Y61" i="13" s="1"/>
  <c r="Y62" i="13" s="1"/>
  <c r="Y63" i="13" s="1"/>
  <c r="Y64" i="13" s="1"/>
  <c r="Y65" i="13" s="1"/>
  <c r="Y66" i="13" s="1"/>
  <c r="S37" i="13"/>
  <c r="S38" i="13" s="1"/>
  <c r="S39" i="13" s="1"/>
  <c r="S40" i="13" s="1"/>
  <c r="S41" i="13" s="1"/>
  <c r="S42" i="13" s="1"/>
  <c r="S43" i="13" s="1"/>
  <c r="S44" i="13" s="1"/>
  <c r="S45" i="13" s="1"/>
  <c r="S46" i="13" s="1"/>
  <c r="S47" i="13" s="1"/>
  <c r="S48" i="13" s="1"/>
  <c r="S49" i="13" s="1"/>
  <c r="S50" i="13" s="1"/>
  <c r="S51" i="13" s="1"/>
  <c r="S52" i="13" s="1"/>
  <c r="S53" i="13" s="1"/>
  <c r="S54" i="13" s="1"/>
  <c r="S55" i="13" s="1"/>
  <c r="S56" i="13" s="1"/>
  <c r="S57" i="13" s="1"/>
  <c r="S58" i="13" s="1"/>
  <c r="S59" i="13" s="1"/>
  <c r="S60" i="13" s="1"/>
  <c r="S61" i="13" s="1"/>
  <c r="S62" i="13" s="1"/>
  <c r="S63" i="13" s="1"/>
  <c r="S64" i="13" s="1"/>
  <c r="S65" i="13" s="1"/>
  <c r="S66" i="13" s="1"/>
  <c r="U37" i="13"/>
  <c r="U38" i="13" s="1"/>
  <c r="U39" i="13" s="1"/>
  <c r="U40" i="13" s="1"/>
  <c r="U41" i="13" s="1"/>
  <c r="U42" i="13" s="1"/>
  <c r="U43" i="13" s="1"/>
  <c r="U44" i="13" s="1"/>
  <c r="U45" i="13" s="1"/>
  <c r="U46" i="13" s="1"/>
  <c r="U47" i="13" s="1"/>
  <c r="U48" i="13" s="1"/>
  <c r="U49" i="13" s="1"/>
  <c r="U50" i="13" s="1"/>
  <c r="U51" i="13" s="1"/>
  <c r="U52" i="13" s="1"/>
  <c r="U53" i="13" s="1"/>
  <c r="U54" i="13" s="1"/>
  <c r="U55" i="13" s="1"/>
  <c r="U56" i="13" s="1"/>
  <c r="U57" i="13" s="1"/>
  <c r="U58" i="13" s="1"/>
  <c r="U59" i="13" s="1"/>
  <c r="U60" i="13" s="1"/>
  <c r="U61" i="13" s="1"/>
  <c r="U135" i="13" l="1"/>
  <c r="U136" i="13" s="1"/>
  <c r="U137" i="13" s="1"/>
  <c r="F19" i="15"/>
  <c r="AI120" i="13"/>
  <c r="AI121" i="13" s="1"/>
  <c r="AI122" i="13" s="1"/>
  <c r="I12" i="15"/>
  <c r="U62" i="13"/>
  <c r="U63" i="13" s="1"/>
  <c r="U64" i="13" s="1"/>
  <c r="U65" i="13" s="1"/>
  <c r="U66" i="13" s="1"/>
  <c r="F9" i="15"/>
  <c r="W135" i="13"/>
  <c r="W136" i="13" s="1"/>
  <c r="W137" i="13" s="1"/>
  <c r="F20" i="15"/>
  <c r="AA86" i="13"/>
  <c r="AA87" i="13" s="1"/>
  <c r="AA88" i="13" s="1"/>
  <c r="AA89" i="13" s="1"/>
  <c r="AA90" i="13" s="1"/>
  <c r="AA91" i="13" s="1"/>
  <c r="AA92" i="13" s="1"/>
  <c r="AA93" i="13" s="1"/>
  <c r="AA94" i="13" s="1"/>
  <c r="AA95" i="13" s="1"/>
  <c r="AA96" i="13" s="1"/>
  <c r="AA97" i="13" s="1"/>
  <c r="AA98" i="13" s="1"/>
  <c r="AA99" i="13" s="1"/>
  <c r="F15" i="15"/>
  <c r="AA52" i="13"/>
  <c r="AA53" i="13" s="1"/>
  <c r="AA54" i="13" s="1"/>
  <c r="AA55" i="13" s="1"/>
  <c r="AA56" i="13" s="1"/>
  <c r="AA57" i="13" s="1"/>
  <c r="AA58" i="13" s="1"/>
  <c r="AA59" i="13" s="1"/>
  <c r="AA60" i="13" s="1"/>
  <c r="AA61" i="13" s="1"/>
  <c r="AA62" i="13" s="1"/>
  <c r="AA63" i="13" s="1"/>
  <c r="AA64" i="13" s="1"/>
  <c r="AA65" i="13" s="1"/>
  <c r="AA66" i="13" s="1"/>
  <c r="F11" i="15"/>
  <c r="F27" i="15"/>
  <c r="L3" i="15"/>
  <c r="S11" i="14" s="1"/>
  <c r="AW122" i="13"/>
  <c r="AW123" i="13" s="1"/>
  <c r="AW124" i="13" s="1"/>
  <c r="AW125" i="13" s="1"/>
  <c r="AW126" i="13" s="1"/>
  <c r="AW127" i="13" s="1"/>
  <c r="AW128" i="13" s="1"/>
  <c r="AW129" i="13" s="1"/>
  <c r="AW130" i="13" s="1"/>
  <c r="AW131" i="13" s="1"/>
  <c r="AW132" i="13" s="1"/>
  <c r="AW133" i="13" s="1"/>
  <c r="AW134" i="13" s="1"/>
  <c r="AW135" i="13" s="1"/>
  <c r="AW136" i="13" s="1"/>
  <c r="AW137" i="13" s="1"/>
  <c r="AW138" i="13" s="1"/>
  <c r="AW139" i="13" s="1"/>
  <c r="AY122" i="13"/>
  <c r="AY123" i="13" s="1"/>
  <c r="AY124" i="13" s="1"/>
  <c r="AY125" i="13" s="1"/>
  <c r="AY126" i="13" s="1"/>
  <c r="AY127" i="13" s="1"/>
  <c r="AY128" i="13" s="1"/>
  <c r="AY129" i="13" s="1"/>
  <c r="AY130" i="13" s="1"/>
  <c r="AY131" i="13" s="1"/>
  <c r="AY132" i="13" s="1"/>
  <c r="AY133" i="13" s="1"/>
  <c r="AY134" i="13" s="1"/>
  <c r="AY135" i="13" s="1"/>
  <c r="AY136" i="13" s="1"/>
  <c r="AY137" i="13" s="1"/>
  <c r="AY138" i="13" s="1"/>
  <c r="AY139" i="13" s="1"/>
  <c r="AY140" i="13" s="1"/>
  <c r="AY141" i="13" s="1"/>
  <c r="AU122" i="13"/>
  <c r="AU123" i="13" s="1"/>
  <c r="AU124" i="13" s="1"/>
  <c r="AU125" i="13" s="1"/>
  <c r="AU126" i="13" s="1"/>
  <c r="AU127" i="13" s="1"/>
  <c r="AU128" i="13" s="1"/>
  <c r="AU129" i="13" s="1"/>
  <c r="AU130" i="13" s="1"/>
  <c r="AU131" i="13" s="1"/>
  <c r="AU132" i="13" s="1"/>
  <c r="AU133" i="13" s="1"/>
  <c r="AU134" i="13" s="1"/>
  <c r="AU135" i="13" s="1"/>
  <c r="AU136" i="13" s="1"/>
  <c r="AU137" i="13" s="1"/>
  <c r="AU138" i="13" s="1"/>
  <c r="AU139" i="13" s="1"/>
  <c r="AU140" i="13" s="1"/>
  <c r="AU141" i="13" s="1"/>
  <c r="L5" i="15"/>
  <c r="L7" i="15"/>
  <c r="L8" i="15"/>
  <c r="L14" i="15"/>
  <c r="I10" i="15"/>
  <c r="AI136" i="13"/>
  <c r="AI137" i="13" s="1"/>
  <c r="AI138" i="13" s="1"/>
  <c r="AI139" i="13" s="1"/>
  <c r="AI140" i="13" s="1"/>
  <c r="AI141" i="13" s="1"/>
  <c r="AI142" i="13" s="1"/>
  <c r="AI143" i="13" s="1"/>
  <c r="AI144" i="13" s="1"/>
  <c r="AI145" i="13" s="1"/>
  <c r="AI146" i="13" s="1"/>
  <c r="AI147" i="13" s="1"/>
  <c r="AI148" i="13" s="1"/>
  <c r="AI149" i="13" s="1"/>
  <c r="AI150" i="13" s="1"/>
  <c r="AI151" i="13" s="1"/>
  <c r="AI152" i="13" s="1"/>
  <c r="AI153" i="13" s="1"/>
  <c r="AI154" i="13" s="1"/>
  <c r="AI155" i="13" s="1"/>
  <c r="I14" i="15"/>
  <c r="S8" i="14" s="1"/>
  <c r="AG103" i="13"/>
  <c r="AG104" i="13" s="1"/>
  <c r="AG105" i="13" s="1"/>
  <c r="AG106" i="13" s="1"/>
  <c r="AG107" i="13" s="1"/>
  <c r="AG108" i="13" s="1"/>
  <c r="AG109" i="13" s="1"/>
  <c r="AG110" i="13" s="1"/>
  <c r="AG111" i="13" s="1"/>
  <c r="AG112" i="13" s="1"/>
  <c r="AG113" i="13" s="1"/>
  <c r="AG114" i="13" s="1"/>
  <c r="AG115" i="13" s="1"/>
  <c r="AG116" i="13" s="1"/>
  <c r="AG117" i="13" s="1"/>
  <c r="AG118" i="13" s="1"/>
  <c r="AG119" i="13" s="1"/>
  <c r="AG120" i="13" s="1"/>
  <c r="AG121" i="13" s="1"/>
  <c r="AG122" i="13" s="1"/>
  <c r="AG136" i="13"/>
  <c r="AG137" i="13" s="1"/>
  <c r="AG138" i="13" s="1"/>
  <c r="AG139" i="13" s="1"/>
  <c r="AG140" i="13" s="1"/>
  <c r="AG141" i="13" s="1"/>
  <c r="AG142" i="13" s="1"/>
  <c r="AG143" i="13" s="1"/>
  <c r="AG144" i="13" s="1"/>
  <c r="AG145" i="13" s="1"/>
  <c r="AG146" i="13" s="1"/>
  <c r="AG147" i="13" s="1"/>
  <c r="AG148" i="13" s="1"/>
  <c r="AG149" i="13" s="1"/>
  <c r="AG150" i="13" s="1"/>
  <c r="AG151" i="13" s="1"/>
  <c r="AG152" i="13" s="1"/>
  <c r="AG153" i="13" s="1"/>
  <c r="AG154" i="13" s="1"/>
  <c r="AG155" i="13" s="1"/>
  <c r="I5" i="15"/>
  <c r="S14" i="14" s="1"/>
  <c r="I7" i="15"/>
  <c r="I8" i="15"/>
  <c r="I3" i="15"/>
  <c r="I9" i="15"/>
  <c r="F29" i="15"/>
  <c r="Y227" i="13"/>
  <c r="Y228" i="13" s="1"/>
  <c r="Y229" i="13" s="1"/>
  <c r="Y230" i="13" s="1"/>
  <c r="Y231" i="13" s="1"/>
  <c r="Y232" i="13" s="1"/>
  <c r="Y233" i="13" s="1"/>
  <c r="Y234" i="13" s="1"/>
  <c r="Y235" i="13" s="1"/>
  <c r="Y236" i="13" s="1"/>
  <c r="Y237" i="13" s="1"/>
  <c r="Y238" i="13" s="1"/>
  <c r="Y239" i="13" s="1"/>
  <c r="Y240" i="13" s="1"/>
  <c r="Y241" i="13" s="1"/>
  <c r="Y242" i="13" s="1"/>
  <c r="Y243" i="13" s="1"/>
  <c r="Y244" i="13" s="1"/>
  <c r="Y245" i="13" s="1"/>
  <c r="Y246" i="13" s="1"/>
  <c r="Y80" i="13"/>
  <c r="Y81" i="13" s="1"/>
  <c r="Y82" i="13" s="1"/>
  <c r="Y83" i="13" s="1"/>
  <c r="Y84" i="13" s="1"/>
  <c r="Y85" i="13" s="1"/>
  <c r="Y86" i="13" s="1"/>
  <c r="Y87" i="13" s="1"/>
  <c r="Y88" i="13" s="1"/>
  <c r="Y89" i="13" s="1"/>
  <c r="Y90" i="13" s="1"/>
  <c r="Y91" i="13" s="1"/>
  <c r="Y92" i="13" s="1"/>
  <c r="Y93" i="13" s="1"/>
  <c r="Y94" i="13" s="1"/>
  <c r="Y95" i="13" s="1"/>
  <c r="Y96" i="13" s="1"/>
  <c r="Y97" i="13" s="1"/>
  <c r="Y98" i="13" s="1"/>
  <c r="Y99" i="13" s="1"/>
  <c r="C321" i="13"/>
  <c r="C322" i="13" s="1"/>
  <c r="C323" i="13" s="1"/>
  <c r="C324" i="13" s="1"/>
  <c r="C325" i="13" s="1"/>
  <c r="C326" i="13" s="1"/>
  <c r="C327" i="13" s="1"/>
  <c r="C328" i="13" s="1"/>
  <c r="C329" i="13" s="1"/>
  <c r="C330" i="13" s="1"/>
  <c r="E321" i="13"/>
  <c r="E322" i="13" s="1"/>
  <c r="E323" i="13" s="1"/>
  <c r="E324" i="13" s="1"/>
  <c r="E325" i="13" s="1"/>
  <c r="E326" i="13" s="1"/>
  <c r="E327" i="13" s="1"/>
  <c r="E328" i="13" s="1"/>
  <c r="E329" i="13" s="1"/>
  <c r="E330" i="13" s="1"/>
  <c r="E331" i="13" s="1"/>
  <c r="E332" i="13" s="1"/>
  <c r="E333" i="13" s="1"/>
  <c r="E334" i="13" s="1"/>
  <c r="E335" i="13" s="1"/>
  <c r="E336" i="13" s="1"/>
  <c r="E337" i="13" s="1"/>
  <c r="E338" i="13" s="1"/>
  <c r="E339" i="13" s="1"/>
  <c r="E340" i="13" s="1"/>
  <c r="E341" i="13" s="1"/>
  <c r="E342" i="13" s="1"/>
  <c r="E343" i="13" s="1"/>
  <c r="E344" i="13" s="1"/>
  <c r="E345" i="13" s="1"/>
  <c r="C288" i="13"/>
  <c r="C289" i="13" s="1"/>
  <c r="C290" i="13" s="1"/>
  <c r="C291" i="13" s="1"/>
  <c r="C292" i="13" s="1"/>
  <c r="C293" i="13" s="1"/>
  <c r="C294" i="13" s="1"/>
  <c r="C295" i="13" s="1"/>
  <c r="C296" i="13" s="1"/>
  <c r="C297" i="13" s="1"/>
  <c r="C298" i="13" s="1"/>
  <c r="C299" i="13" s="1"/>
  <c r="C300" i="13" s="1"/>
  <c r="C301" i="13" s="1"/>
  <c r="C302" i="13" s="1"/>
  <c r="C303" i="13" s="1"/>
  <c r="C304" i="13" s="1"/>
  <c r="C305" i="13" s="1"/>
  <c r="C306" i="13" s="1"/>
  <c r="C307" i="13" s="1"/>
  <c r="C308" i="13" s="1"/>
  <c r="C309" i="13" s="1"/>
  <c r="C310" i="13" s="1"/>
  <c r="C311" i="13" s="1"/>
  <c r="C312" i="13" s="1"/>
  <c r="C313" i="13" s="1"/>
  <c r="C314" i="13" s="1"/>
  <c r="C315" i="13" s="1"/>
  <c r="C316" i="13" s="1"/>
  <c r="C317" i="13" s="1"/>
  <c r="I288" i="13"/>
  <c r="I289" i="13" s="1"/>
  <c r="I290" i="13" s="1"/>
  <c r="I291" i="13" s="1"/>
  <c r="I292" i="13" s="1"/>
  <c r="I293" i="13" s="1"/>
  <c r="I294" i="13" s="1"/>
  <c r="I295" i="13" s="1"/>
  <c r="I296" i="13" s="1"/>
  <c r="I297" i="13" s="1"/>
  <c r="I298" i="13" s="1"/>
  <c r="I299" i="13" s="1"/>
  <c r="I300" i="13" s="1"/>
  <c r="I301" i="13" s="1"/>
  <c r="I302" i="13" s="1"/>
  <c r="I303" i="13" s="1"/>
  <c r="I304" i="13" s="1"/>
  <c r="I305" i="13" s="1"/>
  <c r="I306" i="13" s="1"/>
  <c r="I307" i="13" s="1"/>
  <c r="I308" i="13" s="1"/>
  <c r="I309" i="13" s="1"/>
  <c r="I310" i="13" s="1"/>
  <c r="I311" i="13" s="1"/>
  <c r="I312" i="13" s="1"/>
  <c r="I313" i="13" s="1"/>
  <c r="I314" i="13" s="1"/>
  <c r="I315" i="13" s="1"/>
  <c r="I316" i="13" s="1"/>
  <c r="I317" i="13" s="1"/>
  <c r="G288" i="13"/>
  <c r="G289" i="13" s="1"/>
  <c r="G290" i="13" s="1"/>
  <c r="G291" i="13" s="1"/>
  <c r="G292" i="13" s="1"/>
  <c r="G293" i="13" s="1"/>
  <c r="G294" i="13" s="1"/>
  <c r="G295" i="13" s="1"/>
  <c r="G296" i="13" s="1"/>
  <c r="G297" i="13" s="1"/>
  <c r="G298" i="13" s="1"/>
  <c r="G299" i="13" s="1"/>
  <c r="G300" i="13" s="1"/>
  <c r="G301" i="13" s="1"/>
  <c r="G302" i="13" s="1"/>
  <c r="G303" i="13" s="1"/>
  <c r="G304" i="13" s="1"/>
  <c r="G305" i="13" s="1"/>
  <c r="G306" i="13" s="1"/>
  <c r="G307" i="13" s="1"/>
  <c r="G308" i="13" s="1"/>
  <c r="G309" i="13" s="1"/>
  <c r="G310" i="13" s="1"/>
  <c r="G311" i="13" s="1"/>
  <c r="G312" i="13" s="1"/>
  <c r="G313" i="13" s="1"/>
  <c r="G314" i="13" s="1"/>
  <c r="G315" i="13" s="1"/>
  <c r="G316" i="13" s="1"/>
  <c r="G317" i="13" s="1"/>
  <c r="E288" i="13"/>
  <c r="E289" i="13" s="1"/>
  <c r="E290" i="13" s="1"/>
  <c r="E291" i="13" s="1"/>
  <c r="E292" i="13" s="1"/>
  <c r="E293" i="13" s="1"/>
  <c r="E294" i="13" s="1"/>
  <c r="E295" i="13" s="1"/>
  <c r="E296" i="13" s="1"/>
  <c r="E297" i="13" s="1"/>
  <c r="E298" i="13" s="1"/>
  <c r="E299" i="13" s="1"/>
  <c r="E300" i="13" s="1"/>
  <c r="E301" i="13" s="1"/>
  <c r="E302" i="13" s="1"/>
  <c r="E303" i="13" s="1"/>
  <c r="E304" i="13" s="1"/>
  <c r="E305" i="13" s="1"/>
  <c r="E306" i="13" s="1"/>
  <c r="E307" i="13" s="1"/>
  <c r="E308" i="13" s="1"/>
  <c r="E309" i="13" s="1"/>
  <c r="E310" i="13" s="1"/>
  <c r="E311" i="13" s="1"/>
  <c r="E312" i="13" s="1"/>
  <c r="E313" i="13" s="1"/>
  <c r="E314" i="13" s="1"/>
  <c r="E315" i="13" s="1"/>
  <c r="E316" i="13" s="1"/>
  <c r="E317" i="13" s="1"/>
  <c r="C255" i="13"/>
  <c r="C256" i="13" s="1"/>
  <c r="C257" i="13" s="1"/>
  <c r="C258" i="13" s="1"/>
  <c r="C259" i="13" s="1"/>
  <c r="C260" i="13" s="1"/>
  <c r="C261" i="13" s="1"/>
  <c r="C262" i="13" s="1"/>
  <c r="C263" i="13" s="1"/>
  <c r="C264" i="13" s="1"/>
  <c r="C265" i="13" s="1"/>
  <c r="C266" i="13" s="1"/>
  <c r="C267" i="13" s="1"/>
  <c r="C268" i="13" s="1"/>
  <c r="C269" i="13" s="1"/>
  <c r="C270" i="13" s="1"/>
  <c r="C271" i="13" s="1"/>
  <c r="C272" i="13" s="1"/>
  <c r="C273" i="13" s="1"/>
  <c r="C274" i="13" s="1"/>
  <c r="C275" i="13" s="1"/>
  <c r="C276" i="13" s="1"/>
  <c r="C277" i="13" s="1"/>
  <c r="C278" i="13" s="1"/>
  <c r="C279" i="13" s="1"/>
  <c r="C280" i="13" s="1"/>
  <c r="C281" i="13" s="1"/>
  <c r="C282" i="13" s="1"/>
  <c r="C283" i="13" s="1"/>
  <c r="C284" i="13" s="1"/>
  <c r="AW140" i="13" l="1"/>
  <c r="AW141" i="13" s="1"/>
  <c r="L11" i="15"/>
  <c r="L10" i="15"/>
  <c r="E346" i="13"/>
  <c r="E347" i="13" s="1"/>
  <c r="E348" i="13" s="1"/>
  <c r="E349" i="13" s="1"/>
  <c r="E350" i="13" s="1"/>
  <c r="C34" i="15"/>
  <c r="L12" i="15"/>
  <c r="C331" i="13"/>
  <c r="C332" i="13" s="1"/>
  <c r="C333" i="13" s="1"/>
  <c r="C334" i="13" s="1"/>
  <c r="C335" i="13" s="1"/>
  <c r="C336" i="13" s="1"/>
  <c r="C337" i="13" s="1"/>
  <c r="C338" i="13" s="1"/>
  <c r="C339" i="13" s="1"/>
  <c r="C340" i="13" s="1"/>
  <c r="C341" i="13" s="1"/>
  <c r="C342" i="13" s="1"/>
  <c r="C343" i="13" s="1"/>
  <c r="C344" i="13" s="1"/>
  <c r="C345" i="13" s="1"/>
  <c r="C346" i="13" s="1"/>
  <c r="C347" i="13" s="1"/>
  <c r="C348" i="13" s="1"/>
  <c r="C349" i="13" s="1"/>
  <c r="C350" i="13" s="1"/>
  <c r="C40" i="15"/>
  <c r="C41" i="15"/>
  <c r="C42" i="15"/>
  <c r="I255" i="13"/>
  <c r="I256" i="13" s="1"/>
  <c r="I257" i="13" s="1"/>
  <c r="I258" i="13" s="1"/>
  <c r="I259" i="13" s="1"/>
  <c r="I260" i="13" s="1"/>
  <c r="I261" i="13" s="1"/>
  <c r="I262" i="13" s="1"/>
  <c r="I263" i="13" s="1"/>
  <c r="I264" i="13" s="1"/>
  <c r="G255" i="13"/>
  <c r="G256" i="13" s="1"/>
  <c r="G257" i="13" s="1"/>
  <c r="G258" i="13" s="1"/>
  <c r="G259" i="13" s="1"/>
  <c r="G260" i="13" s="1"/>
  <c r="G261" i="13" s="1"/>
  <c r="G262" i="13" s="1"/>
  <c r="G263" i="13" s="1"/>
  <c r="G264" i="13" s="1"/>
  <c r="E255" i="13"/>
  <c r="E256" i="13" s="1"/>
  <c r="E257" i="13" s="1"/>
  <c r="E258" i="13" s="1"/>
  <c r="E259" i="13" s="1"/>
  <c r="E260" i="13" s="1"/>
  <c r="E261" i="13" s="1"/>
  <c r="E262" i="13" s="1"/>
  <c r="E263" i="13" s="1"/>
  <c r="E264" i="13" s="1"/>
  <c r="I265" i="13" l="1"/>
  <c r="I266" i="13" s="1"/>
  <c r="I267" i="13" s="1"/>
  <c r="I268" i="13" s="1"/>
  <c r="I269" i="13" s="1"/>
  <c r="I270" i="13" s="1"/>
  <c r="I271" i="13" s="1"/>
  <c r="I272" i="13" s="1"/>
  <c r="I273" i="13" s="1"/>
  <c r="I274" i="13" s="1"/>
  <c r="I275" i="13" s="1"/>
  <c r="I276" i="13" s="1"/>
  <c r="I277" i="13" s="1"/>
  <c r="I278" i="13" s="1"/>
  <c r="I279" i="13" s="1"/>
  <c r="I280" i="13" s="1"/>
  <c r="I281" i="13" s="1"/>
  <c r="I282" i="13" s="1"/>
  <c r="I283" i="13" s="1"/>
  <c r="I284" i="13" s="1"/>
  <c r="C38" i="15"/>
  <c r="E265" i="13"/>
  <c r="E266" i="13" s="1"/>
  <c r="E267" i="13" s="1"/>
  <c r="E268" i="13" s="1"/>
  <c r="E269" i="13" s="1"/>
  <c r="E270" i="13" s="1"/>
  <c r="E271" i="13" s="1"/>
  <c r="E272" i="13" s="1"/>
  <c r="E273" i="13" s="1"/>
  <c r="E274" i="13" s="1"/>
  <c r="E275" i="13" s="1"/>
  <c r="E276" i="13" s="1"/>
  <c r="E277" i="13" s="1"/>
  <c r="E278" i="13" s="1"/>
  <c r="E279" i="13" s="1"/>
  <c r="E280" i="13" s="1"/>
  <c r="E281" i="13" s="1"/>
  <c r="E282" i="13" s="1"/>
  <c r="E283" i="13" s="1"/>
  <c r="E284" i="13" s="1"/>
  <c r="G265" i="13"/>
  <c r="G266" i="13" s="1"/>
  <c r="G267" i="13" s="1"/>
  <c r="G268" i="13" s="1"/>
  <c r="G269" i="13" s="1"/>
  <c r="G270" i="13" s="1"/>
  <c r="G271" i="13" s="1"/>
  <c r="G272" i="13" s="1"/>
  <c r="G273" i="13" s="1"/>
  <c r="G274" i="13" s="1"/>
  <c r="G275" i="13" s="1"/>
  <c r="G276" i="13" s="1"/>
  <c r="G277" i="13" s="1"/>
  <c r="G278" i="13" s="1"/>
  <c r="G279" i="13" s="1"/>
  <c r="G280" i="13" s="1"/>
  <c r="G281" i="13" s="1"/>
  <c r="G282" i="13" s="1"/>
  <c r="G283" i="13" s="1"/>
  <c r="G284" i="13" s="1"/>
  <c r="C217" i="13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C246" i="13" s="1"/>
  <c r="C247" i="13" s="1"/>
  <c r="C248" i="13" s="1"/>
  <c r="C249" i="13" s="1"/>
  <c r="C250" i="13" s="1"/>
  <c r="C251" i="13" s="1"/>
  <c r="I217" i="13"/>
  <c r="I218" i="13" s="1"/>
  <c r="I219" i="13" s="1"/>
  <c r="I220" i="13" s="1"/>
  <c r="I221" i="13" s="1"/>
  <c r="I222" i="13" s="1"/>
  <c r="I223" i="13" s="1"/>
  <c r="I224" i="13" s="1"/>
  <c r="I225" i="13" s="1"/>
  <c r="I226" i="13" s="1"/>
  <c r="I227" i="13" s="1"/>
  <c r="I228" i="13" s="1"/>
  <c r="I229" i="13" s="1"/>
  <c r="I230" i="13" s="1"/>
  <c r="I231" i="13" s="1"/>
  <c r="I232" i="13" s="1"/>
  <c r="I233" i="13" s="1"/>
  <c r="I234" i="13" s="1"/>
  <c r="I235" i="13" s="1"/>
  <c r="I236" i="13" s="1"/>
  <c r="I237" i="13" s="1"/>
  <c r="I238" i="13" s="1"/>
  <c r="I239" i="13" s="1"/>
  <c r="I240" i="13" s="1"/>
  <c r="I241" i="13" s="1"/>
  <c r="I242" i="13" s="1"/>
  <c r="I243" i="13" s="1"/>
  <c r="I244" i="13" s="1"/>
  <c r="I245" i="13" s="1"/>
  <c r="I246" i="13" s="1"/>
  <c r="I247" i="13" s="1"/>
  <c r="I248" i="13" s="1"/>
  <c r="I249" i="13" s="1"/>
  <c r="I250" i="13" s="1"/>
  <c r="I251" i="13" s="1"/>
  <c r="G217" i="13"/>
  <c r="G218" i="13" s="1"/>
  <c r="G219" i="13" s="1"/>
  <c r="G220" i="13" s="1"/>
  <c r="G221" i="13" s="1"/>
  <c r="G222" i="13" s="1"/>
  <c r="G223" i="13" s="1"/>
  <c r="G224" i="13" s="1"/>
  <c r="G225" i="13" s="1"/>
  <c r="G226" i="13" s="1"/>
  <c r="G227" i="13" s="1"/>
  <c r="G228" i="13" s="1"/>
  <c r="G229" i="13" s="1"/>
  <c r="G230" i="13" s="1"/>
  <c r="G231" i="13" s="1"/>
  <c r="G232" i="13" s="1"/>
  <c r="G233" i="13" s="1"/>
  <c r="G234" i="13" s="1"/>
  <c r="G235" i="13" s="1"/>
  <c r="G236" i="13" s="1"/>
  <c r="G237" i="13" s="1"/>
  <c r="G238" i="13" s="1"/>
  <c r="G239" i="13" s="1"/>
  <c r="G240" i="13" s="1"/>
  <c r="G241" i="13" s="1"/>
  <c r="G242" i="13" s="1"/>
  <c r="G243" i="13" s="1"/>
  <c r="G244" i="13" s="1"/>
  <c r="G245" i="13" s="1"/>
  <c r="G246" i="13" s="1"/>
  <c r="G247" i="13" s="1"/>
  <c r="G248" i="13" s="1"/>
  <c r="G249" i="13" s="1"/>
  <c r="G250" i="13" s="1"/>
  <c r="G251" i="13" s="1"/>
  <c r="E217" i="13"/>
  <c r="E218" i="13" s="1"/>
  <c r="E219" i="13" s="1"/>
  <c r="E220" i="13" s="1"/>
  <c r="E221" i="13" s="1"/>
  <c r="E222" i="13" s="1"/>
  <c r="E223" i="13" s="1"/>
  <c r="E224" i="13" s="1"/>
  <c r="E225" i="13" s="1"/>
  <c r="E226" i="13" s="1"/>
  <c r="E227" i="13" s="1"/>
  <c r="E228" i="13" s="1"/>
  <c r="E229" i="13" s="1"/>
  <c r="E230" i="13" s="1"/>
  <c r="E231" i="13" s="1"/>
  <c r="E232" i="13" s="1"/>
  <c r="E233" i="13" s="1"/>
  <c r="E234" i="13" s="1"/>
  <c r="E235" i="13" s="1"/>
  <c r="E236" i="13" s="1"/>
  <c r="E237" i="13" s="1"/>
  <c r="E238" i="13" s="1"/>
  <c r="E239" i="13" s="1"/>
  <c r="E240" i="13" s="1"/>
  <c r="E241" i="13" s="1"/>
  <c r="E242" i="13" s="1"/>
  <c r="E243" i="13" s="1"/>
  <c r="E244" i="13" s="1"/>
  <c r="E245" i="13" s="1"/>
  <c r="E246" i="13" s="1"/>
  <c r="E247" i="13" s="1"/>
  <c r="E248" i="13" s="1"/>
  <c r="E249" i="13" s="1"/>
  <c r="E250" i="13" s="1"/>
  <c r="E251" i="13" s="1"/>
  <c r="C28" i="15"/>
  <c r="C27" i="15"/>
  <c r="C26" i="15"/>
  <c r="C179" i="13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I179" i="13"/>
  <c r="I180" i="13" s="1"/>
  <c r="I181" i="13" s="1"/>
  <c r="I182" i="13" s="1"/>
  <c r="I183" i="13" s="1"/>
  <c r="I184" i="13" s="1"/>
  <c r="I185" i="13" s="1"/>
  <c r="I186" i="13" s="1"/>
  <c r="I187" i="13" s="1"/>
  <c r="I188" i="13" s="1"/>
  <c r="I189" i="13" s="1"/>
  <c r="I190" i="13" s="1"/>
  <c r="I191" i="13" s="1"/>
  <c r="I192" i="13" s="1"/>
  <c r="I193" i="13" s="1"/>
  <c r="I194" i="13" s="1"/>
  <c r="I195" i="13" s="1"/>
  <c r="I196" i="13" s="1"/>
  <c r="I197" i="13" s="1"/>
  <c r="I198" i="13" s="1"/>
  <c r="I199" i="13" s="1"/>
  <c r="I200" i="13" s="1"/>
  <c r="I201" i="13" s="1"/>
  <c r="I202" i="13" s="1"/>
  <c r="I203" i="13" s="1"/>
  <c r="I204" i="13" s="1"/>
  <c r="I205" i="13" s="1"/>
  <c r="I206" i="13" s="1"/>
  <c r="I207" i="13" s="1"/>
  <c r="I208" i="13" s="1"/>
  <c r="I209" i="13" s="1"/>
  <c r="I210" i="13" s="1"/>
  <c r="I211" i="13" s="1"/>
  <c r="I212" i="13" s="1"/>
  <c r="I213" i="13" s="1"/>
  <c r="G179" i="13"/>
  <c r="G180" i="13" s="1"/>
  <c r="G181" i="13" s="1"/>
  <c r="G182" i="13" s="1"/>
  <c r="G183" i="13" s="1"/>
  <c r="G184" i="13" s="1"/>
  <c r="G185" i="13" s="1"/>
  <c r="G186" i="13" s="1"/>
  <c r="G187" i="13" s="1"/>
  <c r="G188" i="13" s="1"/>
  <c r="G189" i="13" s="1"/>
  <c r="G190" i="13" s="1"/>
  <c r="G191" i="13" s="1"/>
  <c r="G192" i="13" s="1"/>
  <c r="G193" i="13" s="1"/>
  <c r="G194" i="13" s="1"/>
  <c r="G195" i="13" s="1"/>
  <c r="G196" i="13" s="1"/>
  <c r="G197" i="13" s="1"/>
  <c r="G198" i="13" s="1"/>
  <c r="G199" i="13" s="1"/>
  <c r="G200" i="13" s="1"/>
  <c r="G201" i="13" s="1"/>
  <c r="G202" i="13" s="1"/>
  <c r="G203" i="13" s="1"/>
  <c r="G204" i="13" s="1"/>
  <c r="G205" i="13" s="1"/>
  <c r="G206" i="13" s="1"/>
  <c r="G207" i="13" s="1"/>
  <c r="G208" i="13" s="1"/>
  <c r="G209" i="13" s="1"/>
  <c r="G210" i="13" s="1"/>
  <c r="G211" i="13" s="1"/>
  <c r="G212" i="13" s="1"/>
  <c r="G213" i="13" s="1"/>
  <c r="E179" i="13"/>
  <c r="E180" i="13" s="1"/>
  <c r="E181" i="13" s="1"/>
  <c r="E182" i="13" s="1"/>
  <c r="E183" i="13" s="1"/>
  <c r="E184" i="13" s="1"/>
  <c r="E185" i="13" s="1"/>
  <c r="E186" i="13" s="1"/>
  <c r="E187" i="13" s="1"/>
  <c r="E188" i="13" s="1"/>
  <c r="E189" i="13" s="1"/>
  <c r="E190" i="13" s="1"/>
  <c r="E191" i="13" s="1"/>
  <c r="E192" i="13" s="1"/>
  <c r="E193" i="13" s="1"/>
  <c r="E194" i="13" s="1"/>
  <c r="E195" i="13" s="1"/>
  <c r="E196" i="13" s="1"/>
  <c r="E197" i="13" s="1"/>
  <c r="E198" i="13" s="1"/>
  <c r="E199" i="13" s="1"/>
  <c r="E200" i="13" s="1"/>
  <c r="E201" i="13" s="1"/>
  <c r="E202" i="13" s="1"/>
  <c r="E203" i="13" s="1"/>
  <c r="E204" i="13" s="1"/>
  <c r="E205" i="13" s="1"/>
  <c r="E206" i="13" s="1"/>
  <c r="E207" i="13" s="1"/>
  <c r="E208" i="13" s="1"/>
  <c r="E209" i="13" s="1"/>
  <c r="E210" i="13" s="1"/>
  <c r="E211" i="13" s="1"/>
  <c r="E212" i="13" s="1"/>
  <c r="E213" i="13" s="1"/>
  <c r="C37" i="15" l="1"/>
  <c r="C36" i="15"/>
  <c r="C30" i="15"/>
  <c r="C32" i="15"/>
  <c r="C31" i="15"/>
  <c r="I103" i="13"/>
  <c r="I104" i="13" s="1"/>
  <c r="I105" i="13" s="1"/>
  <c r="I106" i="13" s="1"/>
  <c r="I107" i="13" s="1"/>
  <c r="I108" i="13" s="1"/>
  <c r="I109" i="13" s="1"/>
  <c r="I110" i="13" s="1"/>
  <c r="I111" i="13" s="1"/>
  <c r="I112" i="13" s="1"/>
  <c r="I113" i="13" s="1"/>
  <c r="I114" i="13" s="1"/>
  <c r="I115" i="13" s="1"/>
  <c r="I116" i="13" s="1"/>
  <c r="I117" i="13" s="1"/>
  <c r="I118" i="13" s="1"/>
  <c r="I119" i="13" s="1"/>
  <c r="I120" i="13" s="1"/>
  <c r="I121" i="13" s="1"/>
  <c r="I122" i="13" s="1"/>
  <c r="I123" i="13" s="1"/>
  <c r="I124" i="13" s="1"/>
  <c r="I125" i="13" s="1"/>
  <c r="I126" i="13" s="1"/>
  <c r="I127" i="13" s="1"/>
  <c r="I128" i="13" s="1"/>
  <c r="I129" i="13" s="1"/>
  <c r="I130" i="13" s="1"/>
  <c r="I131" i="13" s="1"/>
  <c r="I132" i="13" s="1"/>
  <c r="I133" i="13" s="1"/>
  <c r="I134" i="13" s="1"/>
  <c r="I135" i="13" s="1"/>
  <c r="I136" i="13" s="1"/>
  <c r="I137" i="13" s="1"/>
  <c r="G103" i="13"/>
  <c r="G104" i="13" s="1"/>
  <c r="G105" i="13" s="1"/>
  <c r="G106" i="13" s="1"/>
  <c r="G107" i="13" s="1"/>
  <c r="G108" i="13" s="1"/>
  <c r="G109" i="13" s="1"/>
  <c r="G110" i="13" s="1"/>
  <c r="G111" i="13" s="1"/>
  <c r="G112" i="13" s="1"/>
  <c r="E103" i="13"/>
  <c r="E104" i="13" s="1"/>
  <c r="E105" i="13" s="1"/>
  <c r="E106" i="13" s="1"/>
  <c r="E107" i="13" s="1"/>
  <c r="E108" i="13" s="1"/>
  <c r="E109" i="13" s="1"/>
  <c r="E110" i="13" s="1"/>
  <c r="E111" i="13" s="1"/>
  <c r="E112" i="13" s="1"/>
  <c r="E113" i="13" s="1"/>
  <c r="E114" i="13" s="1"/>
  <c r="E115" i="13" s="1"/>
  <c r="E116" i="13" s="1"/>
  <c r="E117" i="13" s="1"/>
  <c r="E118" i="13" s="1"/>
  <c r="E119" i="13" s="1"/>
  <c r="E120" i="13" s="1"/>
  <c r="E121" i="13" s="1"/>
  <c r="E122" i="13" s="1"/>
  <c r="E123" i="13" s="1"/>
  <c r="E124" i="13" s="1"/>
  <c r="E125" i="13" s="1"/>
  <c r="E126" i="13" s="1"/>
  <c r="E127" i="13" s="1"/>
  <c r="E128" i="13" s="1"/>
  <c r="E129" i="13" s="1"/>
  <c r="E130" i="13" s="1"/>
  <c r="E131" i="13" s="1"/>
  <c r="E132" i="13" s="1"/>
  <c r="E133" i="13" s="1"/>
  <c r="E134" i="13" s="1"/>
  <c r="E135" i="13" s="1"/>
  <c r="E136" i="13" s="1"/>
  <c r="E137" i="13" s="1"/>
  <c r="C103" i="13"/>
  <c r="C104" i="13" s="1"/>
  <c r="C105" i="13" s="1"/>
  <c r="C106" i="13" s="1"/>
  <c r="C107" i="13" s="1"/>
  <c r="C108" i="13" s="1"/>
  <c r="C109" i="13" s="1"/>
  <c r="C110" i="13" s="1"/>
  <c r="C111" i="13" s="1"/>
  <c r="C112" i="13" s="1"/>
  <c r="C113" i="13" s="1"/>
  <c r="C114" i="13" s="1"/>
  <c r="C115" i="13" s="1"/>
  <c r="C116" i="13" s="1"/>
  <c r="C117" i="13" s="1"/>
  <c r="C118" i="13" s="1"/>
  <c r="C119" i="13" s="1"/>
  <c r="C120" i="13" s="1"/>
  <c r="C121" i="13" s="1"/>
  <c r="C122" i="13" s="1"/>
  <c r="C123" i="13" s="1"/>
  <c r="C124" i="13" s="1"/>
  <c r="C125" i="13" s="1"/>
  <c r="C126" i="13" s="1"/>
  <c r="C127" i="13" s="1"/>
  <c r="C128" i="13" s="1"/>
  <c r="C129" i="13" s="1"/>
  <c r="C130" i="13" s="1"/>
  <c r="C131" i="13" s="1"/>
  <c r="C132" i="13" s="1"/>
  <c r="C133" i="13" s="1"/>
  <c r="C134" i="13" s="1"/>
  <c r="C135" i="13" s="1"/>
  <c r="C136" i="13" s="1"/>
  <c r="K70" i="13"/>
  <c r="K71" i="13" s="1"/>
  <c r="K72" i="13" s="1"/>
  <c r="K73" i="13" s="1"/>
  <c r="K74" i="13" s="1"/>
  <c r="K75" i="13" s="1"/>
  <c r="K76" i="13" s="1"/>
  <c r="K77" i="13" s="1"/>
  <c r="K78" i="13" s="1"/>
  <c r="K79" i="13" s="1"/>
  <c r="K80" i="13" s="1"/>
  <c r="K81" i="13" s="1"/>
  <c r="K82" i="13" s="1"/>
  <c r="K83" i="13" s="1"/>
  <c r="K84" i="13" s="1"/>
  <c r="K85" i="13" s="1"/>
  <c r="K86" i="13" s="1"/>
  <c r="K87" i="13" s="1"/>
  <c r="K88" i="13" s="1"/>
  <c r="K89" i="13" s="1"/>
  <c r="K90" i="13" s="1"/>
  <c r="K91" i="13" s="1"/>
  <c r="K92" i="13" s="1"/>
  <c r="K93" i="13" s="1"/>
  <c r="K94" i="13" s="1"/>
  <c r="I70" i="13"/>
  <c r="I71" i="13" s="1"/>
  <c r="I72" i="13" s="1"/>
  <c r="I73" i="13" s="1"/>
  <c r="I74" i="13" s="1"/>
  <c r="I75" i="13" s="1"/>
  <c r="I76" i="13" s="1"/>
  <c r="I77" i="13" s="1"/>
  <c r="I78" i="13" s="1"/>
  <c r="I79" i="13" s="1"/>
  <c r="I80" i="13" s="1"/>
  <c r="I81" i="13" s="1"/>
  <c r="I82" i="13" s="1"/>
  <c r="I83" i="13" s="1"/>
  <c r="I84" i="13" s="1"/>
  <c r="I85" i="13" s="1"/>
  <c r="I86" i="13" s="1"/>
  <c r="I87" i="13" s="1"/>
  <c r="I88" i="13" s="1"/>
  <c r="I89" i="13" s="1"/>
  <c r="I90" i="13" s="1"/>
  <c r="I91" i="13" s="1"/>
  <c r="I92" i="13" s="1"/>
  <c r="I93" i="13" s="1"/>
  <c r="I94" i="13" s="1"/>
  <c r="I95" i="13" s="1"/>
  <c r="I96" i="13" s="1"/>
  <c r="I97" i="13" s="1"/>
  <c r="I98" i="13" s="1"/>
  <c r="I99" i="13" s="1"/>
  <c r="E70" i="13"/>
  <c r="E71" i="13" s="1"/>
  <c r="E72" i="13" s="1"/>
  <c r="E73" i="13" s="1"/>
  <c r="E74" i="13" s="1"/>
  <c r="E75" i="13" s="1"/>
  <c r="E76" i="13" s="1"/>
  <c r="E77" i="13" s="1"/>
  <c r="E78" i="13" s="1"/>
  <c r="E79" i="13" s="1"/>
  <c r="E80" i="13" s="1"/>
  <c r="E81" i="13" s="1"/>
  <c r="E82" i="13" s="1"/>
  <c r="E83" i="13" s="1"/>
  <c r="E84" i="13" s="1"/>
  <c r="E85" i="13" s="1"/>
  <c r="E86" i="13" s="1"/>
  <c r="E87" i="13" s="1"/>
  <c r="E88" i="13" s="1"/>
  <c r="E89" i="13" s="1"/>
  <c r="E90" i="13" s="1"/>
  <c r="E91" i="13" s="1"/>
  <c r="E92" i="13" s="1"/>
  <c r="E93" i="13" s="1"/>
  <c r="E94" i="13" s="1"/>
  <c r="E95" i="13" s="1"/>
  <c r="E96" i="13" s="1"/>
  <c r="E97" i="13" s="1"/>
  <c r="E98" i="13" s="1"/>
  <c r="E99" i="13" s="1"/>
  <c r="C70" i="13"/>
  <c r="C71" i="13" s="1"/>
  <c r="C72" i="13" s="1"/>
  <c r="C73" i="13" s="1"/>
  <c r="C74" i="13" s="1"/>
  <c r="C75" i="13" s="1"/>
  <c r="C76" i="13" s="1"/>
  <c r="C77" i="13" s="1"/>
  <c r="C78" i="13" s="1"/>
  <c r="C79" i="13" s="1"/>
  <c r="K37" i="13"/>
  <c r="K38" i="13" s="1"/>
  <c r="K39" i="13" s="1"/>
  <c r="K40" i="13" s="1"/>
  <c r="K41" i="13" s="1"/>
  <c r="K42" i="13" s="1"/>
  <c r="K43" i="13" s="1"/>
  <c r="K44" i="13" s="1"/>
  <c r="K45" i="13" s="1"/>
  <c r="K46" i="13" s="1"/>
  <c r="K47" i="13" s="1"/>
  <c r="K48" i="13" s="1"/>
  <c r="K49" i="13" s="1"/>
  <c r="K50" i="13" s="1"/>
  <c r="K51" i="13" s="1"/>
  <c r="K52" i="13" s="1"/>
  <c r="K53" i="13" s="1"/>
  <c r="K54" i="13" s="1"/>
  <c r="K55" i="13" s="1"/>
  <c r="K56" i="13" s="1"/>
  <c r="K57" i="13" s="1"/>
  <c r="K58" i="13" s="1"/>
  <c r="K59" i="13" s="1"/>
  <c r="K60" i="13" s="1"/>
  <c r="K61" i="13" s="1"/>
  <c r="K62" i="13" s="1"/>
  <c r="K63" i="13" s="1"/>
  <c r="K64" i="13" s="1"/>
  <c r="K65" i="13" s="1"/>
  <c r="K66" i="13" s="1"/>
  <c r="I37" i="13"/>
  <c r="I38" i="13" s="1"/>
  <c r="I39" i="13" s="1"/>
  <c r="I40" i="13" s="1"/>
  <c r="I41" i="13" s="1"/>
  <c r="I42" i="13" s="1"/>
  <c r="I43" i="13" s="1"/>
  <c r="I44" i="13" s="1"/>
  <c r="I45" i="13" s="1"/>
  <c r="I46" i="13" s="1"/>
  <c r="I47" i="13" s="1"/>
  <c r="I48" i="13" s="1"/>
  <c r="I49" i="13" s="1"/>
  <c r="I50" i="13" s="1"/>
  <c r="I51" i="13" s="1"/>
  <c r="I52" i="13" s="1"/>
  <c r="I53" i="13" s="1"/>
  <c r="I54" i="13" s="1"/>
  <c r="I55" i="13" s="1"/>
  <c r="I56" i="13" s="1"/>
  <c r="I57" i="13" s="1"/>
  <c r="I58" i="13" s="1"/>
  <c r="I59" i="13" s="1"/>
  <c r="I60" i="13" s="1"/>
  <c r="I61" i="13" s="1"/>
  <c r="I62" i="13" s="1"/>
  <c r="I63" i="13" s="1"/>
  <c r="I64" i="13" s="1"/>
  <c r="I65" i="13" s="1"/>
  <c r="I66" i="13" s="1"/>
  <c r="E37" i="13"/>
  <c r="E38" i="13" s="1"/>
  <c r="E39" i="13" s="1"/>
  <c r="E40" i="13" s="1"/>
  <c r="E41" i="13" s="1"/>
  <c r="E42" i="13" s="1"/>
  <c r="E43" i="13" s="1"/>
  <c r="E44" i="13" s="1"/>
  <c r="E45" i="13" s="1"/>
  <c r="E46" i="13" s="1"/>
  <c r="E47" i="13" s="1"/>
  <c r="E48" i="13" s="1"/>
  <c r="E49" i="13" s="1"/>
  <c r="E50" i="13" s="1"/>
  <c r="E51" i="13" s="1"/>
  <c r="E52" i="13" s="1"/>
  <c r="E53" i="13" s="1"/>
  <c r="E54" i="13" s="1"/>
  <c r="E55" i="13" s="1"/>
  <c r="E56" i="13" s="1"/>
  <c r="E57" i="13" s="1"/>
  <c r="E58" i="13" s="1"/>
  <c r="E59" i="13" s="1"/>
  <c r="E60" i="13" s="1"/>
  <c r="E61" i="13" s="1"/>
  <c r="E62" i="13" s="1"/>
  <c r="E63" i="13" s="1"/>
  <c r="E64" i="13" s="1"/>
  <c r="E65" i="13" s="1"/>
  <c r="E66" i="13" s="1"/>
  <c r="C37" i="13"/>
  <c r="C38" i="13" s="1"/>
  <c r="C39" i="13" s="1"/>
  <c r="C40" i="13" s="1"/>
  <c r="C41" i="13" s="1"/>
  <c r="C42" i="13" s="1"/>
  <c r="C43" i="13" s="1"/>
  <c r="C44" i="13" s="1"/>
  <c r="C45" i="13" s="1"/>
  <c r="C46" i="13" s="1"/>
  <c r="C47" i="13" s="1"/>
  <c r="C48" i="13" s="1"/>
  <c r="C49" i="13" s="1"/>
  <c r="C50" i="13" s="1"/>
  <c r="C51" i="13" s="1"/>
  <c r="C52" i="13" s="1"/>
  <c r="C53" i="13" s="1"/>
  <c r="C54" i="13" s="1"/>
  <c r="C55" i="13" s="1"/>
  <c r="C56" i="13" s="1"/>
  <c r="C57" i="13" s="1"/>
  <c r="C58" i="13" s="1"/>
  <c r="C59" i="13" s="1"/>
  <c r="C60" i="13" s="1"/>
  <c r="C61" i="13" s="1"/>
  <c r="C62" i="13" s="1"/>
  <c r="C63" i="13" s="1"/>
  <c r="C64" i="13" s="1"/>
  <c r="C65" i="13" s="1"/>
  <c r="C66" i="13" s="1"/>
  <c r="S25" i="14"/>
  <c r="AS94" i="13"/>
  <c r="AS95" i="13" s="1"/>
  <c r="AS96" i="13" s="1"/>
  <c r="AS97" i="13" s="1"/>
  <c r="AS98" i="13" s="1"/>
  <c r="AS99" i="13" s="1"/>
  <c r="AS100" i="13" s="1"/>
  <c r="AS101" i="13" s="1"/>
  <c r="AS102" i="13" s="1"/>
  <c r="AS103" i="13" s="1"/>
  <c r="AS104" i="13" s="1"/>
  <c r="AS105" i="13" s="1"/>
  <c r="AS106" i="13" s="1"/>
  <c r="AS107" i="13" s="1"/>
  <c r="AS108" i="13" s="1"/>
  <c r="AY94" i="13"/>
  <c r="AY95" i="13" s="1"/>
  <c r="AY96" i="13" s="1"/>
  <c r="AY97" i="13" s="1"/>
  <c r="AY98" i="13" s="1"/>
  <c r="AY99" i="13" s="1"/>
  <c r="AY100" i="13" s="1"/>
  <c r="AY101" i="13" s="1"/>
  <c r="AY102" i="13" s="1"/>
  <c r="AY103" i="13" s="1"/>
  <c r="AW94" i="13"/>
  <c r="AW95" i="13" s="1"/>
  <c r="AW96" i="13" s="1"/>
  <c r="AW97" i="13" s="1"/>
  <c r="AW98" i="13" s="1"/>
  <c r="AW99" i="13" s="1"/>
  <c r="AW100" i="13" s="1"/>
  <c r="AW101" i="13" s="1"/>
  <c r="AW102" i="13" s="1"/>
  <c r="AW103" i="13" s="1"/>
  <c r="AU94" i="13"/>
  <c r="AU95" i="13" s="1"/>
  <c r="AU96" i="13" s="1"/>
  <c r="AU97" i="13" s="1"/>
  <c r="AU98" i="13" s="1"/>
  <c r="AU99" i="13" s="1"/>
  <c r="AU100" i="13" s="1"/>
  <c r="AU101" i="13" s="1"/>
  <c r="AU102" i="13" s="1"/>
  <c r="AU103" i="13" s="1"/>
  <c r="S22" i="14"/>
  <c r="S23" i="14"/>
  <c r="S21" i="14"/>
  <c r="AS4" i="13"/>
  <c r="AS5" i="13" s="1"/>
  <c r="AS6" i="13" s="1"/>
  <c r="AS7" i="13" s="1"/>
  <c r="AS8" i="13" s="1"/>
  <c r="AS9" i="13" s="1"/>
  <c r="AS10" i="13" s="1"/>
  <c r="AS11" i="13" s="1"/>
  <c r="AS12" i="13" s="1"/>
  <c r="AS13" i="13" s="1"/>
  <c r="AS14" i="13" s="1"/>
  <c r="AS15" i="13" s="1"/>
  <c r="AS16" i="13" s="1"/>
  <c r="AS17" i="13" s="1"/>
  <c r="AS18" i="13" s="1"/>
  <c r="K95" i="13" l="1"/>
  <c r="K96" i="13" s="1"/>
  <c r="K97" i="13" s="1"/>
  <c r="K98" i="13" s="1"/>
  <c r="K99" i="13" s="1"/>
  <c r="C16" i="15"/>
  <c r="AY104" i="13"/>
  <c r="AY105" i="13" s="1"/>
  <c r="AY106" i="13" s="1"/>
  <c r="AY107" i="13" s="1"/>
  <c r="AY108" i="13" s="1"/>
  <c r="O24" i="15"/>
  <c r="S12" i="14" s="1"/>
  <c r="AU104" i="13"/>
  <c r="AU105" i="13" s="1"/>
  <c r="AU106" i="13" s="1"/>
  <c r="AU107" i="13" s="1"/>
  <c r="AU108" i="13" s="1"/>
  <c r="O22" i="15"/>
  <c r="S13" i="14" s="1"/>
  <c r="AW104" i="13"/>
  <c r="AW105" i="13" s="1"/>
  <c r="AW106" i="13" s="1"/>
  <c r="AW107" i="13" s="1"/>
  <c r="AW108" i="13" s="1"/>
  <c r="O23" i="15" s="1"/>
  <c r="G113" i="13"/>
  <c r="G114" i="13" s="1"/>
  <c r="G115" i="13" s="1"/>
  <c r="G116" i="13" s="1"/>
  <c r="G117" i="13" s="1"/>
  <c r="G118" i="13" s="1"/>
  <c r="G119" i="13" s="1"/>
  <c r="G120" i="13" s="1"/>
  <c r="G121" i="13" s="1"/>
  <c r="G122" i="13" s="1"/>
  <c r="G123" i="13" s="1"/>
  <c r="G124" i="13" s="1"/>
  <c r="G125" i="13" s="1"/>
  <c r="G126" i="13" s="1"/>
  <c r="G127" i="13" s="1"/>
  <c r="G128" i="13" s="1"/>
  <c r="G129" i="13" s="1"/>
  <c r="G130" i="13" s="1"/>
  <c r="G131" i="13" s="1"/>
  <c r="G132" i="13" s="1"/>
  <c r="G133" i="13" s="1"/>
  <c r="G134" i="13" s="1"/>
  <c r="G135" i="13" s="1"/>
  <c r="G136" i="13" s="1"/>
  <c r="G137" i="13" s="1"/>
  <c r="C19" i="15" s="1"/>
  <c r="C20" i="15"/>
  <c r="C18" i="15"/>
  <c r="C137" i="13"/>
  <c r="C14" i="15"/>
  <c r="C12" i="15"/>
  <c r="C10" i="15"/>
  <c r="C80" i="13"/>
  <c r="C81" i="13" s="1"/>
  <c r="C82" i="13" s="1"/>
  <c r="C83" i="13" s="1"/>
  <c r="C84" i="13" s="1"/>
  <c r="C85" i="13" s="1"/>
  <c r="C86" i="13" s="1"/>
  <c r="C87" i="13" s="1"/>
  <c r="C88" i="13" s="1"/>
  <c r="C89" i="13" s="1"/>
  <c r="C90" i="13" s="1"/>
  <c r="C91" i="13" s="1"/>
  <c r="C92" i="13" s="1"/>
  <c r="C93" i="13" s="1"/>
  <c r="C94" i="13" s="1"/>
  <c r="C95" i="13" s="1"/>
  <c r="C96" i="13" s="1"/>
  <c r="C97" i="13" s="1"/>
  <c r="C98" i="13" s="1"/>
  <c r="C99" i="13" s="1"/>
  <c r="C4" i="13"/>
  <c r="C5" i="13" s="1"/>
  <c r="C6" i="13" s="1"/>
  <c r="C7" i="13" s="1"/>
  <c r="C8" i="13" s="1"/>
  <c r="C9" i="13" s="1"/>
  <c r="C10" i="13" s="1"/>
  <c r="C11" i="13" s="1"/>
  <c r="C12" i="13" s="1"/>
  <c r="C13" i="13" s="1"/>
  <c r="C14" i="13" s="1"/>
  <c r="C15" i="13" s="1"/>
  <c r="C16" i="13" s="1"/>
  <c r="C17" i="13" s="1"/>
  <c r="C18" i="13" s="1"/>
  <c r="C19" i="13" s="1"/>
  <c r="C20" i="13" s="1"/>
  <c r="C21" i="13" s="1"/>
  <c r="C22" i="13" s="1"/>
  <c r="C23" i="13" s="1"/>
  <c r="C24" i="13" s="1"/>
  <c r="C25" i="13" s="1"/>
  <c r="C26" i="13" s="1"/>
  <c r="C27" i="13" s="1"/>
  <c r="C28" i="13" s="1"/>
  <c r="C29" i="13" s="1"/>
  <c r="C30" i="13" s="1"/>
  <c r="C31" i="13" s="1"/>
  <c r="C32" i="13" s="1"/>
  <c r="C33" i="13" s="1"/>
  <c r="D14" i="26" l="1"/>
  <c r="G4" i="13" l="1"/>
  <c r="G5" i="13" s="1"/>
  <c r="G6" i="13" s="1"/>
  <c r="G7" i="13" s="1"/>
  <c r="G8" i="13" s="1"/>
  <c r="G9" i="13" s="1"/>
  <c r="G10" i="13" s="1"/>
  <c r="G11" i="13" s="1"/>
  <c r="G12" i="13" s="1"/>
  <c r="G13" i="13" s="1"/>
  <c r="I4" i="13"/>
  <c r="I5" i="13" s="1"/>
  <c r="I6" i="13" s="1"/>
  <c r="I7" i="13" s="1"/>
  <c r="I8" i="13" s="1"/>
  <c r="I9" i="13" s="1"/>
  <c r="I10" i="13" s="1"/>
  <c r="I11" i="13" s="1"/>
  <c r="I12" i="13" s="1"/>
  <c r="I13" i="13" s="1"/>
  <c r="K4" i="13"/>
  <c r="K5" i="13" s="1"/>
  <c r="K6" i="13" s="1"/>
  <c r="K7" i="13" s="1"/>
  <c r="K8" i="13" s="1"/>
  <c r="K9" i="13" s="1"/>
  <c r="K10" i="13" s="1"/>
  <c r="K11" i="13" s="1"/>
  <c r="K12" i="13" s="1"/>
  <c r="K13" i="13" s="1"/>
  <c r="M4" i="13"/>
  <c r="M5" i="13" s="1"/>
  <c r="M6" i="13" s="1"/>
  <c r="M7" i="13" s="1"/>
  <c r="M8" i="13" s="1"/>
  <c r="M9" i="13" s="1"/>
  <c r="M10" i="13" s="1"/>
  <c r="M11" i="13" s="1"/>
  <c r="M12" i="13" s="1"/>
  <c r="M13" i="13" s="1"/>
  <c r="M14" i="13" s="1"/>
  <c r="M15" i="13" s="1"/>
  <c r="M16" i="13" s="1"/>
  <c r="M17" i="13" s="1"/>
  <c r="M18" i="13" s="1"/>
  <c r="M19" i="13" s="1"/>
  <c r="M20" i="13" s="1"/>
  <c r="M21" i="13" s="1"/>
  <c r="M22" i="13" s="1"/>
  <c r="M23" i="13" s="1"/>
  <c r="M24" i="13" s="1"/>
  <c r="M25" i="13" s="1"/>
  <c r="M26" i="13" s="1"/>
  <c r="M27" i="13" s="1"/>
  <c r="M28" i="13" s="1"/>
  <c r="M29" i="13" s="1"/>
  <c r="M30" i="13" l="1"/>
  <c r="M31" i="13" s="1"/>
  <c r="M32" i="13" s="1"/>
  <c r="M33" i="13" s="1"/>
  <c r="C8" i="15"/>
  <c r="K14" i="13"/>
  <c r="K15" i="13" s="1"/>
  <c r="K16" i="13" s="1"/>
  <c r="K17" i="13" s="1"/>
  <c r="K18" i="13" s="1"/>
  <c r="K19" i="13" s="1"/>
  <c r="K20" i="13" s="1"/>
  <c r="K21" i="13" s="1"/>
  <c r="K22" i="13" s="1"/>
  <c r="K23" i="13" s="1"/>
  <c r="K24" i="13" s="1"/>
  <c r="K25" i="13" s="1"/>
  <c r="K26" i="13" s="1"/>
  <c r="K27" i="13" s="1"/>
  <c r="K28" i="13" s="1"/>
  <c r="K29" i="13" s="1"/>
  <c r="K30" i="13" s="1"/>
  <c r="K31" i="13" s="1"/>
  <c r="K32" i="13" s="1"/>
  <c r="K33" i="13" s="1"/>
  <c r="C5" i="15"/>
  <c r="I14" i="13"/>
  <c r="I15" i="13" s="1"/>
  <c r="I16" i="13" s="1"/>
  <c r="I17" i="13" s="1"/>
  <c r="I18" i="13" s="1"/>
  <c r="I19" i="13" s="1"/>
  <c r="I20" i="13" s="1"/>
  <c r="I21" i="13" s="1"/>
  <c r="I22" i="13" s="1"/>
  <c r="I23" i="13" s="1"/>
  <c r="I24" i="13" s="1"/>
  <c r="I25" i="13" s="1"/>
  <c r="I26" i="13" s="1"/>
  <c r="I27" i="13" s="1"/>
  <c r="I28" i="13" s="1"/>
  <c r="I29" i="13" s="1"/>
  <c r="C4" i="15"/>
  <c r="G14" i="13"/>
  <c r="G15" i="13" s="1"/>
  <c r="G16" i="13" s="1"/>
  <c r="G17" i="13" s="1"/>
  <c r="G18" i="13" s="1"/>
  <c r="G19" i="13" s="1"/>
  <c r="G20" i="13" s="1"/>
  <c r="G21" i="13" s="1"/>
  <c r="G22" i="13" s="1"/>
  <c r="G23" i="13" s="1"/>
  <c r="G24" i="13" s="1"/>
  <c r="G25" i="13" s="1"/>
  <c r="G26" i="13" s="1"/>
  <c r="G27" i="13" s="1"/>
  <c r="G28" i="13" s="1"/>
  <c r="G29" i="13" s="1"/>
  <c r="G30" i="13" s="1"/>
  <c r="G31" i="13" s="1"/>
  <c r="G32" i="13" s="1"/>
  <c r="G33" i="13" s="1"/>
  <c r="C3" i="15" l="1"/>
  <c r="I30" i="13"/>
  <c r="I31" i="13" s="1"/>
  <c r="I32" i="13" s="1"/>
  <c r="I33" i="13" s="1"/>
  <c r="C6" i="15"/>
  <c r="Z125" i="22"/>
  <c r="Y125" i="22"/>
  <c r="Q125" i="22"/>
  <c r="P125" i="22"/>
  <c r="J125" i="22"/>
  <c r="E125" i="22"/>
  <c r="Z124" i="22"/>
  <c r="Y124" i="22"/>
  <c r="Q124" i="22"/>
  <c r="P124" i="22"/>
  <c r="J124" i="22"/>
  <c r="E124" i="22"/>
  <c r="Z123" i="22"/>
  <c r="Y123" i="22"/>
  <c r="S123" i="22"/>
  <c r="Q123" i="22"/>
  <c r="P123" i="22"/>
  <c r="J123" i="22"/>
  <c r="E123" i="22"/>
  <c r="Z122" i="22"/>
  <c r="Y122" i="22"/>
  <c r="Q122" i="22"/>
  <c r="P122" i="22"/>
  <c r="J122" i="22"/>
  <c r="E122" i="22"/>
  <c r="Z121" i="22"/>
  <c r="Y121" i="22"/>
  <c r="S121" i="22"/>
  <c r="Q121" i="22"/>
  <c r="P121" i="22"/>
  <c r="J121" i="22"/>
  <c r="E121" i="22"/>
  <c r="Z120" i="22"/>
  <c r="Y120" i="22"/>
  <c r="Q120" i="22"/>
  <c r="P120" i="22"/>
  <c r="J120" i="22"/>
  <c r="E120" i="22"/>
  <c r="Z119" i="22"/>
  <c r="Y119" i="22"/>
  <c r="S119" i="22"/>
  <c r="Q119" i="22"/>
  <c r="P119" i="22"/>
  <c r="J119" i="22"/>
  <c r="E119" i="22"/>
  <c r="Z118" i="22"/>
  <c r="Y118" i="22"/>
  <c r="Q118" i="22"/>
  <c r="P118" i="22"/>
  <c r="J118" i="22"/>
  <c r="E118" i="22"/>
  <c r="Z117" i="22"/>
  <c r="Y117" i="22"/>
  <c r="S117" i="22"/>
  <c r="Q117" i="22"/>
  <c r="P117" i="22"/>
  <c r="J117" i="22"/>
  <c r="E117" i="22"/>
  <c r="Z116" i="22"/>
  <c r="Y116" i="22"/>
  <c r="Q116" i="22"/>
  <c r="P116" i="22"/>
  <c r="J116" i="22"/>
  <c r="E116" i="22"/>
  <c r="Z115" i="22"/>
  <c r="Y115" i="22"/>
  <c r="S115" i="22"/>
  <c r="Q115" i="22"/>
  <c r="P115" i="22"/>
  <c r="J115" i="22"/>
  <c r="E115" i="22"/>
  <c r="Z114" i="22"/>
  <c r="Y114" i="22"/>
  <c r="Q114" i="22"/>
  <c r="P114" i="22"/>
  <c r="J114" i="22"/>
  <c r="E114" i="22"/>
  <c r="Z113" i="22"/>
  <c r="Y113" i="22"/>
  <c r="S113" i="22"/>
  <c r="Q113" i="22"/>
  <c r="P113" i="22"/>
  <c r="J113" i="22"/>
  <c r="E113" i="22"/>
  <c r="Z112" i="22"/>
  <c r="Y112" i="22"/>
  <c r="Q112" i="22"/>
  <c r="P112" i="22"/>
  <c r="J112" i="22"/>
  <c r="E112" i="22"/>
  <c r="Z111" i="22"/>
  <c r="Y111" i="22"/>
  <c r="S111" i="22"/>
  <c r="Q111" i="22"/>
  <c r="P111" i="22"/>
  <c r="J111" i="22"/>
  <c r="E111" i="22"/>
  <c r="Z110" i="22"/>
  <c r="Y110" i="22"/>
  <c r="Q110" i="22"/>
  <c r="P110" i="22"/>
  <c r="J110" i="22"/>
  <c r="E110" i="22"/>
  <c r="Z109" i="22"/>
  <c r="Y109" i="22"/>
  <c r="S109" i="22"/>
  <c r="Q109" i="22"/>
  <c r="P109" i="22"/>
  <c r="J109" i="22"/>
  <c r="E109" i="22"/>
  <c r="Z108" i="22"/>
  <c r="Y108" i="22"/>
  <c r="Q108" i="22"/>
  <c r="P108" i="22"/>
  <c r="J108" i="22"/>
  <c r="E108" i="22"/>
  <c r="Z107" i="22"/>
  <c r="Y107" i="22"/>
  <c r="S107" i="22"/>
  <c r="Q107" i="22"/>
  <c r="P107" i="22"/>
  <c r="J107" i="22"/>
  <c r="E107" i="22"/>
  <c r="Z106" i="22"/>
  <c r="Y106" i="22"/>
  <c r="Q106" i="22"/>
  <c r="P106" i="22"/>
  <c r="J106" i="22"/>
  <c r="E106" i="22"/>
  <c r="Z105" i="22"/>
  <c r="Y105" i="22"/>
  <c r="S105" i="22"/>
  <c r="Q105" i="22"/>
  <c r="P105" i="22"/>
  <c r="J105" i="22"/>
  <c r="E105" i="22"/>
  <c r="Z104" i="22"/>
  <c r="Y104" i="22"/>
  <c r="Q104" i="22"/>
  <c r="P104" i="22"/>
  <c r="J104" i="22"/>
  <c r="E104" i="22"/>
  <c r="Z103" i="22"/>
  <c r="Y103" i="22"/>
  <c r="S103" i="22"/>
  <c r="Q103" i="22"/>
  <c r="P103" i="22"/>
  <c r="J103" i="22"/>
  <c r="E103" i="22"/>
  <c r="Z102" i="22"/>
  <c r="Y102" i="22"/>
  <c r="Q102" i="22"/>
  <c r="P102" i="22"/>
  <c r="J102" i="22"/>
  <c r="E102" i="22"/>
  <c r="Z101" i="22"/>
  <c r="Y101" i="22"/>
  <c r="Q101" i="22"/>
  <c r="P101" i="22"/>
  <c r="J101" i="22"/>
  <c r="E101" i="22"/>
  <c r="AA97" i="22"/>
  <c r="Z97" i="22"/>
  <c r="Y97" i="22"/>
  <c r="R97" i="22"/>
  <c r="Q97" i="22"/>
  <c r="P97" i="22"/>
  <c r="J97" i="22"/>
  <c r="E97" i="22"/>
  <c r="AA96" i="22"/>
  <c r="Z96" i="22"/>
  <c r="Y96" i="22"/>
  <c r="R96" i="22"/>
  <c r="Q96" i="22"/>
  <c r="P96" i="22"/>
  <c r="J96" i="22"/>
  <c r="E96" i="22"/>
  <c r="AA95" i="22"/>
  <c r="Z95" i="22"/>
  <c r="Y95" i="22"/>
  <c r="R95" i="22"/>
  <c r="Q95" i="22"/>
  <c r="P95" i="22"/>
  <c r="J95" i="22"/>
  <c r="E95" i="22"/>
  <c r="AA94" i="22"/>
  <c r="Z94" i="22"/>
  <c r="Y94" i="22"/>
  <c r="R94" i="22"/>
  <c r="Q94" i="22"/>
  <c r="P94" i="22"/>
  <c r="J94" i="22"/>
  <c r="E94" i="22"/>
  <c r="AA93" i="22"/>
  <c r="Z93" i="22"/>
  <c r="Y93" i="22"/>
  <c r="R93" i="22"/>
  <c r="Q93" i="22"/>
  <c r="P93" i="22"/>
  <c r="J93" i="22"/>
  <c r="E93" i="22"/>
  <c r="AA92" i="22"/>
  <c r="Z92" i="22"/>
  <c r="Y92" i="22"/>
  <c r="R92" i="22"/>
  <c r="Q92" i="22"/>
  <c r="P92" i="22"/>
  <c r="J92" i="22"/>
  <c r="E92" i="22"/>
  <c r="AA91" i="22"/>
  <c r="Z91" i="22"/>
  <c r="Y91" i="22"/>
  <c r="R91" i="22"/>
  <c r="Q91" i="22"/>
  <c r="P91" i="22"/>
  <c r="J91" i="22"/>
  <c r="E91" i="22"/>
  <c r="AA90" i="22"/>
  <c r="Z90" i="22"/>
  <c r="Y90" i="22"/>
  <c r="R90" i="22"/>
  <c r="Q90" i="22"/>
  <c r="P90" i="22"/>
  <c r="J90" i="22"/>
  <c r="E90" i="22"/>
  <c r="AA89" i="22"/>
  <c r="Z89" i="22"/>
  <c r="Y89" i="22"/>
  <c r="R89" i="22"/>
  <c r="Q89" i="22"/>
  <c r="P89" i="22"/>
  <c r="J89" i="22"/>
  <c r="E89" i="22"/>
  <c r="AA88" i="22"/>
  <c r="Z88" i="22"/>
  <c r="Y88" i="22"/>
  <c r="R88" i="22"/>
  <c r="Q88" i="22"/>
  <c r="P88" i="22"/>
  <c r="J88" i="22"/>
  <c r="E88" i="22"/>
  <c r="AA87" i="22"/>
  <c r="Z87" i="22"/>
  <c r="Y87" i="22"/>
  <c r="R87" i="22"/>
  <c r="Q87" i="22"/>
  <c r="P87" i="22"/>
  <c r="J87" i="22"/>
  <c r="E87" i="22"/>
  <c r="AA86" i="22"/>
  <c r="Z86" i="22"/>
  <c r="Y86" i="22"/>
  <c r="R86" i="22"/>
  <c r="Q86" i="22"/>
  <c r="P86" i="22"/>
  <c r="J86" i="22"/>
  <c r="E86" i="22"/>
  <c r="AA85" i="22"/>
  <c r="Z85" i="22"/>
  <c r="Y85" i="22"/>
  <c r="R85" i="22"/>
  <c r="Q85" i="22"/>
  <c r="P85" i="22"/>
  <c r="J85" i="22"/>
  <c r="E85" i="22"/>
  <c r="AA81" i="22"/>
  <c r="Z81" i="22"/>
  <c r="Y81" i="22"/>
  <c r="R81" i="22"/>
  <c r="Q81" i="22"/>
  <c r="P81" i="22"/>
  <c r="J81" i="22"/>
  <c r="E81" i="22"/>
  <c r="AA80" i="22"/>
  <c r="Z80" i="22"/>
  <c r="Y80" i="22"/>
  <c r="R80" i="22"/>
  <c r="Q80" i="22"/>
  <c r="P80" i="22"/>
  <c r="J80" i="22"/>
  <c r="E80" i="22"/>
  <c r="AA79" i="22"/>
  <c r="Z79" i="22"/>
  <c r="Y79" i="22"/>
  <c r="R79" i="22"/>
  <c r="Q79" i="22"/>
  <c r="P79" i="22"/>
  <c r="J79" i="22"/>
  <c r="E79" i="22"/>
  <c r="AA78" i="22"/>
  <c r="Z78" i="22"/>
  <c r="Y78" i="22"/>
  <c r="R78" i="22"/>
  <c r="Q78" i="22"/>
  <c r="P78" i="22"/>
  <c r="J78" i="22"/>
  <c r="E78" i="22"/>
  <c r="Z77" i="22"/>
  <c r="Y77" i="22"/>
  <c r="R77" i="22"/>
  <c r="Q77" i="22"/>
  <c r="P77" i="22"/>
  <c r="J77" i="22"/>
  <c r="E77" i="22"/>
  <c r="AA76" i="22"/>
  <c r="Z76" i="22"/>
  <c r="Y76" i="22"/>
  <c r="R76" i="22"/>
  <c r="Q76" i="22"/>
  <c r="P76" i="22"/>
  <c r="J76" i="22"/>
  <c r="E76" i="22"/>
  <c r="AA75" i="22"/>
  <c r="Z75" i="22"/>
  <c r="Y75" i="22"/>
  <c r="R75" i="22"/>
  <c r="Q75" i="22"/>
  <c r="P75" i="22"/>
  <c r="J75" i="22"/>
  <c r="E75" i="22"/>
  <c r="AA74" i="22"/>
  <c r="Z74" i="22"/>
  <c r="Y74" i="22"/>
  <c r="R74" i="22"/>
  <c r="Q74" i="22"/>
  <c r="P74" i="22"/>
  <c r="J74" i="22"/>
  <c r="E74" i="22"/>
  <c r="AA73" i="22"/>
  <c r="Z73" i="22"/>
  <c r="Y73" i="22"/>
  <c r="R73" i="22"/>
  <c r="Q73" i="22"/>
  <c r="P73" i="22"/>
  <c r="J73" i="22"/>
  <c r="E73" i="22"/>
  <c r="AA72" i="22"/>
  <c r="Z72" i="22"/>
  <c r="Y72" i="22"/>
  <c r="R72" i="22"/>
  <c r="Q72" i="22"/>
  <c r="P72" i="22"/>
  <c r="J72" i="22"/>
  <c r="E72" i="22"/>
  <c r="AA71" i="22"/>
  <c r="Z71" i="22"/>
  <c r="Y71" i="22"/>
  <c r="R71" i="22"/>
  <c r="Q71" i="22"/>
  <c r="P71" i="22"/>
  <c r="J71" i="22"/>
  <c r="E71" i="22"/>
  <c r="AA70" i="22"/>
  <c r="Z70" i="22"/>
  <c r="Y70" i="22"/>
  <c r="R70" i="22"/>
  <c r="Q70" i="22"/>
  <c r="P70" i="22"/>
  <c r="J70" i="22"/>
  <c r="E70" i="22"/>
  <c r="AA69" i="22"/>
  <c r="Z69" i="22"/>
  <c r="Y69" i="22"/>
  <c r="R69" i="22"/>
  <c r="Q69" i="22"/>
  <c r="P69" i="22"/>
  <c r="J69" i="22"/>
  <c r="E69" i="22"/>
  <c r="AA68" i="22"/>
  <c r="Z68" i="22"/>
  <c r="Y68" i="22"/>
  <c r="R68" i="22"/>
  <c r="Q68" i="22"/>
  <c r="P68" i="22"/>
  <c r="J68" i="22"/>
  <c r="E68" i="22"/>
  <c r="AA67" i="22"/>
  <c r="Z67" i="22"/>
  <c r="Y67" i="22"/>
  <c r="R67" i="22"/>
  <c r="Q67" i="22"/>
  <c r="P67" i="22"/>
  <c r="J67" i="22"/>
  <c r="E67" i="22"/>
  <c r="AA66" i="22"/>
  <c r="Z66" i="22"/>
  <c r="Y66" i="22"/>
  <c r="R66" i="22"/>
  <c r="Q66" i="22"/>
  <c r="P66" i="22"/>
  <c r="J66" i="22"/>
  <c r="E66" i="22"/>
  <c r="AA65" i="22"/>
  <c r="Z65" i="22"/>
  <c r="Y65" i="22"/>
  <c r="R65" i="22"/>
  <c r="Q65" i="22"/>
  <c r="P65" i="22"/>
  <c r="J65" i="22"/>
  <c r="E65" i="22"/>
  <c r="AA64" i="22"/>
  <c r="Z64" i="22"/>
  <c r="Y64" i="22"/>
  <c r="R64" i="22"/>
  <c r="Q64" i="22"/>
  <c r="P64" i="22"/>
  <c r="J64" i="22"/>
  <c r="E64" i="22"/>
  <c r="AA63" i="22"/>
  <c r="Z63" i="22"/>
  <c r="Y63" i="22"/>
  <c r="R63" i="22"/>
  <c r="Q63" i="22"/>
  <c r="P63" i="22"/>
  <c r="J63" i="22"/>
  <c r="E63" i="22"/>
  <c r="AA62" i="22"/>
  <c r="Z62" i="22"/>
  <c r="Y62" i="22"/>
  <c r="R62" i="22"/>
  <c r="Q62" i="22"/>
  <c r="P62" i="22"/>
  <c r="J62" i="22"/>
  <c r="E62" i="22"/>
  <c r="AA61" i="22"/>
  <c r="Z61" i="22"/>
  <c r="Y61" i="22"/>
  <c r="R61" i="22"/>
  <c r="Q61" i="22"/>
  <c r="P61" i="22"/>
  <c r="J61" i="22"/>
  <c r="E61" i="22"/>
  <c r="AA60" i="22"/>
  <c r="Z60" i="22"/>
  <c r="Y60" i="22"/>
  <c r="R60" i="22"/>
  <c r="Q60" i="22"/>
  <c r="P60" i="22"/>
  <c r="J60" i="22"/>
  <c r="E60" i="22"/>
  <c r="AA59" i="22"/>
  <c r="Z59" i="22"/>
  <c r="Y59" i="22"/>
  <c r="R59" i="22"/>
  <c r="Q59" i="22"/>
  <c r="P59" i="22"/>
  <c r="J59" i="22"/>
  <c r="E59" i="22"/>
  <c r="AA58" i="22"/>
  <c r="Z58" i="22"/>
  <c r="Y58" i="22"/>
  <c r="R58" i="22"/>
  <c r="Q58" i="22"/>
  <c r="P58" i="22"/>
  <c r="J58" i="22"/>
  <c r="E58" i="22"/>
  <c r="AA57" i="22"/>
  <c r="Z57" i="22"/>
  <c r="Y57" i="22"/>
  <c r="R57" i="22"/>
  <c r="Q57" i="22"/>
  <c r="P57" i="22"/>
  <c r="J57" i="22"/>
  <c r="E57" i="22"/>
  <c r="Z53" i="22"/>
  <c r="Y53" i="22"/>
  <c r="Q53" i="22"/>
  <c r="P53" i="22"/>
  <c r="J53" i="22"/>
  <c r="F53" i="22"/>
  <c r="E53" i="22"/>
  <c r="Z52" i="22"/>
  <c r="Y52" i="22"/>
  <c r="Q52" i="22"/>
  <c r="P52" i="22"/>
  <c r="J52" i="22"/>
  <c r="F52" i="22"/>
  <c r="E52" i="22"/>
  <c r="Z51" i="22"/>
  <c r="Y51" i="22"/>
  <c r="Q51" i="22"/>
  <c r="P51" i="22"/>
  <c r="J51" i="22"/>
  <c r="F51" i="22"/>
  <c r="E51" i="22"/>
  <c r="Z50" i="22"/>
  <c r="Y50" i="22"/>
  <c r="Q50" i="22"/>
  <c r="P50" i="22"/>
  <c r="J50" i="22"/>
  <c r="F50" i="22"/>
  <c r="E50" i="22"/>
  <c r="Z49" i="22"/>
  <c r="Y49" i="22"/>
  <c r="Q49" i="22"/>
  <c r="P49" i="22"/>
  <c r="J49" i="22"/>
  <c r="F49" i="22"/>
  <c r="E49" i="22"/>
  <c r="Z48" i="22"/>
  <c r="Y48" i="22"/>
  <c r="Q48" i="22"/>
  <c r="P48" i="22"/>
  <c r="J48" i="22"/>
  <c r="F48" i="22"/>
  <c r="E48" i="22"/>
  <c r="Y47" i="22"/>
  <c r="P47" i="22"/>
  <c r="J47" i="22"/>
  <c r="F47" i="22"/>
  <c r="L47" i="22" s="1"/>
  <c r="E47" i="22"/>
  <c r="Y46" i="22"/>
  <c r="P46" i="22"/>
  <c r="J46" i="22"/>
  <c r="F46" i="22"/>
  <c r="E46" i="22"/>
  <c r="Y45" i="22"/>
  <c r="P45" i="22"/>
  <c r="J45" i="22"/>
  <c r="F45" i="22"/>
  <c r="L45" i="22" s="1"/>
  <c r="E45" i="22"/>
  <c r="Y44" i="22"/>
  <c r="P44" i="22"/>
  <c r="J44" i="22"/>
  <c r="F44" i="22"/>
  <c r="E44" i="22"/>
  <c r="Y43" i="22"/>
  <c r="P43" i="22"/>
  <c r="J43" i="22"/>
  <c r="F43" i="22"/>
  <c r="L43" i="22" s="1"/>
  <c r="E43" i="22"/>
  <c r="Y42" i="22"/>
  <c r="P42" i="22"/>
  <c r="J42" i="22"/>
  <c r="F42" i="22"/>
  <c r="E42" i="22"/>
  <c r="Y41" i="22"/>
  <c r="P41" i="22"/>
  <c r="J41" i="22"/>
  <c r="F41" i="22"/>
  <c r="L41" i="22" s="1"/>
  <c r="E41" i="22"/>
  <c r="AA37" i="22"/>
  <c r="Z37" i="22"/>
  <c r="Y37" i="22"/>
  <c r="R37" i="22"/>
  <c r="Q37" i="22"/>
  <c r="P37" i="22"/>
  <c r="AA36" i="22"/>
  <c r="Z36" i="22"/>
  <c r="Y36" i="22"/>
  <c r="R36" i="22"/>
  <c r="Q36" i="22"/>
  <c r="P36" i="22"/>
  <c r="AA35" i="22"/>
  <c r="Z35" i="22"/>
  <c r="Y35" i="22"/>
  <c r="R35" i="22"/>
  <c r="Q35" i="22"/>
  <c r="P35" i="22"/>
  <c r="AA34" i="22"/>
  <c r="Z34" i="22"/>
  <c r="Y34" i="22"/>
  <c r="R34" i="22"/>
  <c r="Q34" i="22"/>
  <c r="P34" i="22"/>
  <c r="AA33" i="22"/>
  <c r="Z33" i="22"/>
  <c r="Y33" i="22"/>
  <c r="R33" i="22"/>
  <c r="Q33" i="22"/>
  <c r="P33" i="22"/>
  <c r="AA32" i="22"/>
  <c r="Z32" i="22"/>
  <c r="Y32" i="22"/>
  <c r="R32" i="22"/>
  <c r="Q32" i="22"/>
  <c r="P32" i="22"/>
  <c r="AA31" i="22"/>
  <c r="Z31" i="22"/>
  <c r="Y31" i="22"/>
  <c r="R31" i="22"/>
  <c r="Q31" i="22"/>
  <c r="P31" i="22"/>
  <c r="AA30" i="22"/>
  <c r="Z30" i="22"/>
  <c r="Y30" i="22"/>
  <c r="R30" i="22"/>
  <c r="Q30" i="22"/>
  <c r="P30" i="22"/>
  <c r="AA29" i="22"/>
  <c r="Z29" i="22"/>
  <c r="Y29" i="22"/>
  <c r="R29" i="22"/>
  <c r="Q29" i="22"/>
  <c r="P29" i="22"/>
  <c r="AA28" i="22"/>
  <c r="Z28" i="22"/>
  <c r="Y28" i="22"/>
  <c r="R28" i="22"/>
  <c r="Q28" i="22"/>
  <c r="P28" i="22"/>
  <c r="AA27" i="22"/>
  <c r="Z27" i="22"/>
  <c r="Y27" i="22"/>
  <c r="R27" i="22"/>
  <c r="Q27" i="22"/>
  <c r="P27" i="22"/>
  <c r="AA26" i="22"/>
  <c r="Z26" i="22"/>
  <c r="Y26" i="22"/>
  <c r="R26" i="22"/>
  <c r="Q26" i="22"/>
  <c r="P26" i="22"/>
  <c r="AA25" i="22"/>
  <c r="Z25" i="22"/>
  <c r="Y25" i="22"/>
  <c r="R25" i="22"/>
  <c r="Q25" i="22"/>
  <c r="P25" i="22"/>
  <c r="AA24" i="22"/>
  <c r="Z24" i="22"/>
  <c r="Y24" i="22"/>
  <c r="R24" i="22"/>
  <c r="Q24" i="22"/>
  <c r="P24" i="22"/>
  <c r="S17" i="14"/>
  <c r="S16" i="14"/>
  <c r="C93" i="15"/>
  <c r="C92" i="15"/>
  <c r="C7" i="14"/>
  <c r="C6" i="14"/>
  <c r="C5" i="14"/>
  <c r="C4" i="14"/>
  <c r="C3" i="14"/>
  <c r="O7" i="15" s="1"/>
  <c r="C24" i="15"/>
  <c r="C23" i="15"/>
  <c r="C22" i="15"/>
  <c r="I141" i="13"/>
  <c r="I142" i="13" s="1"/>
  <c r="I143" i="13" s="1"/>
  <c r="I144" i="13" s="1"/>
  <c r="I145" i="13" s="1"/>
  <c r="I146" i="13" s="1"/>
  <c r="I147" i="13" s="1"/>
  <c r="I148" i="13" s="1"/>
  <c r="I149" i="13" s="1"/>
  <c r="I150" i="13" s="1"/>
  <c r="I151" i="13" s="1"/>
  <c r="I152" i="13" s="1"/>
  <c r="I153" i="13" s="1"/>
  <c r="I154" i="13" s="1"/>
  <c r="I155" i="13" s="1"/>
  <c r="I156" i="13" s="1"/>
  <c r="I157" i="13" s="1"/>
  <c r="I158" i="13" s="1"/>
  <c r="I159" i="13" s="1"/>
  <c r="I160" i="13" s="1"/>
  <c r="I161" i="13" s="1"/>
  <c r="I162" i="13" s="1"/>
  <c r="I163" i="13" s="1"/>
  <c r="I164" i="13" s="1"/>
  <c r="I165" i="13" s="1"/>
  <c r="I166" i="13" s="1"/>
  <c r="I167" i="13" s="1"/>
  <c r="I168" i="13" s="1"/>
  <c r="I169" i="13" s="1"/>
  <c r="I170" i="13" s="1"/>
  <c r="I171" i="13" s="1"/>
  <c r="I172" i="13" s="1"/>
  <c r="I173" i="13" s="1"/>
  <c r="I174" i="13" s="1"/>
  <c r="I175" i="13" s="1"/>
  <c r="G141" i="13"/>
  <c r="G142" i="13" s="1"/>
  <c r="G143" i="13" s="1"/>
  <c r="G144" i="13" s="1"/>
  <c r="G145" i="13" s="1"/>
  <c r="G146" i="13" s="1"/>
  <c r="G147" i="13" s="1"/>
  <c r="G148" i="13" s="1"/>
  <c r="G149" i="13" s="1"/>
  <c r="G150" i="13" s="1"/>
  <c r="G151" i="13" s="1"/>
  <c r="G152" i="13" s="1"/>
  <c r="G153" i="13" s="1"/>
  <c r="G154" i="13" s="1"/>
  <c r="G155" i="13" s="1"/>
  <c r="G156" i="13" s="1"/>
  <c r="G157" i="13" s="1"/>
  <c r="G158" i="13" s="1"/>
  <c r="G159" i="13" s="1"/>
  <c r="G160" i="13" s="1"/>
  <c r="G161" i="13" s="1"/>
  <c r="G162" i="13" s="1"/>
  <c r="G163" i="13" s="1"/>
  <c r="G164" i="13" s="1"/>
  <c r="G165" i="13" s="1"/>
  <c r="G166" i="13" s="1"/>
  <c r="G167" i="13" s="1"/>
  <c r="G168" i="13" s="1"/>
  <c r="G169" i="13" s="1"/>
  <c r="G170" i="13" s="1"/>
  <c r="G171" i="13" s="1"/>
  <c r="G172" i="13" s="1"/>
  <c r="G173" i="13" s="1"/>
  <c r="G174" i="13" s="1"/>
  <c r="G175" i="13" s="1"/>
  <c r="E141" i="13"/>
  <c r="E142" i="13" s="1"/>
  <c r="E143" i="13" s="1"/>
  <c r="E144" i="13" s="1"/>
  <c r="E145" i="13" s="1"/>
  <c r="E146" i="13" s="1"/>
  <c r="E147" i="13" s="1"/>
  <c r="E148" i="13" s="1"/>
  <c r="E149" i="13" s="1"/>
  <c r="E150" i="13" s="1"/>
  <c r="E151" i="13" s="1"/>
  <c r="E152" i="13" s="1"/>
  <c r="E153" i="13" s="1"/>
  <c r="E154" i="13" s="1"/>
  <c r="E155" i="13" s="1"/>
  <c r="E156" i="13" s="1"/>
  <c r="E157" i="13" s="1"/>
  <c r="E158" i="13" s="1"/>
  <c r="E159" i="13" s="1"/>
  <c r="E160" i="13" s="1"/>
  <c r="E161" i="13" s="1"/>
  <c r="E162" i="13" s="1"/>
  <c r="E163" i="13" s="1"/>
  <c r="E164" i="13" s="1"/>
  <c r="E165" i="13" s="1"/>
  <c r="E166" i="13" s="1"/>
  <c r="E167" i="13" s="1"/>
  <c r="E168" i="13" s="1"/>
  <c r="E169" i="13" s="1"/>
  <c r="E170" i="13" s="1"/>
  <c r="E171" i="13" s="1"/>
  <c r="E172" i="13" s="1"/>
  <c r="E173" i="13" s="1"/>
  <c r="E174" i="13" s="1"/>
  <c r="E175" i="13" s="1"/>
  <c r="C141" i="13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O3" i="15" l="1"/>
  <c r="O4" i="15"/>
  <c r="G55" i="14"/>
  <c r="G53" i="14"/>
  <c r="G54" i="14"/>
  <c r="G56" i="14"/>
  <c r="G57" i="14"/>
  <c r="AA6" i="4"/>
  <c r="O19" i="14" s="1"/>
  <c r="Z7" i="4"/>
  <c r="AB7" i="4"/>
  <c r="P20" i="14" s="1"/>
  <c r="AK15" i="4" s="1"/>
  <c r="AB6" i="4"/>
  <c r="P19" i="14" s="1"/>
  <c r="Z8" i="4"/>
  <c r="Z14" i="4"/>
  <c r="Z6" i="4"/>
  <c r="X12" i="4"/>
  <c r="AA12" i="4"/>
  <c r="Z12" i="4"/>
  <c r="AA13" i="4"/>
  <c r="Z13" i="4"/>
  <c r="V12" i="4"/>
  <c r="V6" i="4"/>
  <c r="X6" i="4"/>
  <c r="M17" i="14" s="1"/>
  <c r="F122" i="22"/>
  <c r="L122" i="22" s="1"/>
  <c r="F108" i="22"/>
  <c r="L108" i="22" s="1"/>
  <c r="F109" i="22"/>
  <c r="L109" i="22" s="1"/>
  <c r="F116" i="22"/>
  <c r="L116" i="22" s="1"/>
  <c r="F117" i="22"/>
  <c r="L117" i="22" s="1"/>
  <c r="F124" i="22"/>
  <c r="L124" i="22" s="1"/>
  <c r="F125" i="22"/>
  <c r="L125" i="22" s="1"/>
  <c r="F115" i="22"/>
  <c r="L115" i="22" s="1"/>
  <c r="L42" i="22"/>
  <c r="L44" i="22"/>
  <c r="L46" i="22"/>
  <c r="L48" i="22"/>
  <c r="L49" i="22"/>
  <c r="L50" i="22"/>
  <c r="L51" i="22"/>
  <c r="L52" i="22"/>
  <c r="L53" i="22"/>
  <c r="F57" i="22"/>
  <c r="L57" i="22" s="1"/>
  <c r="F59" i="22"/>
  <c r="L59" i="22" s="1"/>
  <c r="F61" i="22"/>
  <c r="L61" i="22" s="1"/>
  <c r="F63" i="22"/>
  <c r="L63" i="22" s="1"/>
  <c r="F65" i="22"/>
  <c r="L65" i="22" s="1"/>
  <c r="F67" i="22"/>
  <c r="L67" i="22" s="1"/>
  <c r="F69" i="22"/>
  <c r="L69" i="22" s="1"/>
  <c r="F71" i="22"/>
  <c r="L71" i="22" s="1"/>
  <c r="F73" i="22"/>
  <c r="L73" i="22" s="1"/>
  <c r="F75" i="22"/>
  <c r="L75" i="22" s="1"/>
  <c r="F77" i="22"/>
  <c r="L77" i="22" s="1"/>
  <c r="AA77" i="22"/>
  <c r="F79" i="22"/>
  <c r="L79" i="22" s="1"/>
  <c r="F81" i="22"/>
  <c r="L81" i="22" s="1"/>
  <c r="F86" i="22"/>
  <c r="L86" i="22" s="1"/>
  <c r="F88" i="22"/>
  <c r="L88" i="22" s="1"/>
  <c r="F90" i="22"/>
  <c r="L90" i="22" s="1"/>
  <c r="F92" i="22"/>
  <c r="L92" i="22" s="1"/>
  <c r="F94" i="22"/>
  <c r="L94" i="22" s="1"/>
  <c r="F96" i="22"/>
  <c r="L96" i="22" s="1"/>
  <c r="F101" i="22"/>
  <c r="L101" i="22" s="1"/>
  <c r="F102" i="22"/>
  <c r="L102" i="22" s="1"/>
  <c r="F103" i="22"/>
  <c r="L103" i="22" s="1"/>
  <c r="F110" i="22"/>
  <c r="L110" i="22" s="1"/>
  <c r="F111" i="22"/>
  <c r="L111" i="22" s="1"/>
  <c r="F118" i="22"/>
  <c r="L118" i="22" s="1"/>
  <c r="F119" i="22"/>
  <c r="F58" i="22"/>
  <c r="L58" i="22" s="1"/>
  <c r="F60" i="22"/>
  <c r="L60" i="22" s="1"/>
  <c r="F62" i="22"/>
  <c r="L62" i="22" s="1"/>
  <c r="F64" i="22"/>
  <c r="L64" i="22" s="1"/>
  <c r="F66" i="22"/>
  <c r="L66" i="22" s="1"/>
  <c r="F68" i="22"/>
  <c r="L68" i="22" s="1"/>
  <c r="F70" i="22"/>
  <c r="L70" i="22" s="1"/>
  <c r="F72" i="22"/>
  <c r="L72" i="22" s="1"/>
  <c r="F74" i="22"/>
  <c r="L74" i="22" s="1"/>
  <c r="F76" i="22"/>
  <c r="L76" i="22" s="1"/>
  <c r="F78" i="22"/>
  <c r="L78" i="22" s="1"/>
  <c r="F80" i="22"/>
  <c r="L80" i="22" s="1"/>
  <c r="F85" i="22"/>
  <c r="L85" i="22" s="1"/>
  <c r="F87" i="22"/>
  <c r="L87" i="22" s="1"/>
  <c r="F89" i="22"/>
  <c r="L89" i="22" s="1"/>
  <c r="F91" i="22"/>
  <c r="L91" i="22" s="1"/>
  <c r="F93" i="22"/>
  <c r="L93" i="22" s="1"/>
  <c r="F95" i="22"/>
  <c r="L95" i="22" s="1"/>
  <c r="F97" i="22"/>
  <c r="L97" i="22" s="1"/>
  <c r="F106" i="22"/>
  <c r="L106" i="22" s="1"/>
  <c r="F107" i="22"/>
  <c r="L107" i="22" s="1"/>
  <c r="F114" i="22"/>
  <c r="L114" i="22" s="1"/>
  <c r="F123" i="22"/>
  <c r="L123" i="22" s="1"/>
  <c r="F104" i="22"/>
  <c r="L104" i="22" s="1"/>
  <c r="F105" i="22"/>
  <c r="L105" i="22" s="1"/>
  <c r="F112" i="22"/>
  <c r="L112" i="22" s="1"/>
  <c r="F113" i="22"/>
  <c r="L113" i="22" s="1"/>
  <c r="F120" i="22"/>
  <c r="L120" i="22" s="1"/>
  <c r="F121" i="22"/>
  <c r="L121" i="22" s="1"/>
  <c r="G12" i="22"/>
  <c r="H12" i="22"/>
  <c r="H72" i="22"/>
  <c r="G74" i="22"/>
  <c r="H87" i="22"/>
  <c r="H91" i="22"/>
  <c r="G93" i="22"/>
  <c r="G62" i="14"/>
  <c r="G60" i="14"/>
  <c r="G61" i="14"/>
  <c r="H112" i="22"/>
  <c r="G120" i="22"/>
  <c r="G27" i="14"/>
  <c r="G39" i="14"/>
  <c r="G34" i="14"/>
  <c r="G38" i="14"/>
  <c r="G41" i="14"/>
  <c r="G26" i="14"/>
  <c r="G40" i="14"/>
  <c r="G45" i="14"/>
  <c r="G47" i="14"/>
  <c r="G46" i="14"/>
  <c r="G11" i="14"/>
  <c r="G37" i="14"/>
  <c r="G28" i="14"/>
  <c r="G29" i="14"/>
  <c r="G21" i="14"/>
  <c r="G20" i="14"/>
  <c r="G50" i="14"/>
  <c r="G22" i="14"/>
  <c r="O20" i="15"/>
  <c r="S9" i="14" s="1"/>
  <c r="G33" i="14"/>
  <c r="G48" i="14"/>
  <c r="G19" i="14"/>
  <c r="G18" i="14"/>
  <c r="G16" i="14"/>
  <c r="G15" i="14"/>
  <c r="G14" i="14"/>
  <c r="G12" i="14"/>
  <c r="G13" i="14"/>
  <c r="G44" i="14"/>
  <c r="G49" i="14"/>
  <c r="G17" i="14"/>
  <c r="H123" i="22"/>
  <c r="G67" i="22"/>
  <c r="G30" i="14"/>
  <c r="G32" i="14"/>
  <c r="G31" i="14"/>
  <c r="H69" i="22"/>
  <c r="G71" i="22"/>
  <c r="H73" i="22"/>
  <c r="G86" i="22"/>
  <c r="H88" i="22"/>
  <c r="G90" i="22"/>
  <c r="H92" i="22"/>
  <c r="H68" i="22"/>
  <c r="D15" i="26"/>
  <c r="G122" i="22"/>
  <c r="G123" i="22"/>
  <c r="G62" i="22"/>
  <c r="G66" i="22"/>
  <c r="G121" i="22"/>
  <c r="H115" i="22"/>
  <c r="H120" i="22"/>
  <c r="G49" i="22"/>
  <c r="H53" i="22"/>
  <c r="G58" i="22"/>
  <c r="G78" i="22"/>
  <c r="G85" i="22"/>
  <c r="G97" i="22"/>
  <c r="H107" i="22"/>
  <c r="H57" i="22"/>
  <c r="H102" i="22"/>
  <c r="H60" i="22"/>
  <c r="H64" i="22"/>
  <c r="G70" i="22"/>
  <c r="G75" i="22"/>
  <c r="H77" i="22"/>
  <c r="G79" i="22"/>
  <c r="H81" i="22"/>
  <c r="H95" i="22"/>
  <c r="G51" i="22"/>
  <c r="G59" i="22"/>
  <c r="H61" i="22"/>
  <c r="G63" i="22"/>
  <c r="H65" i="22"/>
  <c r="H76" i="22"/>
  <c r="H80" i="22"/>
  <c r="G89" i="22"/>
  <c r="G94" i="22"/>
  <c r="H96" i="22"/>
  <c r="H101" i="22"/>
  <c r="H104" i="22"/>
  <c r="G110" i="22"/>
  <c r="G118" i="22"/>
  <c r="G25" i="22"/>
  <c r="G27" i="22"/>
  <c r="G29" i="22"/>
  <c r="G31" i="22"/>
  <c r="G33" i="22"/>
  <c r="G35" i="22"/>
  <c r="G37" i="22"/>
  <c r="G42" i="22"/>
  <c r="G44" i="22"/>
  <c r="G46" i="22"/>
  <c r="G48" i="22"/>
  <c r="G61" i="22"/>
  <c r="G69" i="22"/>
  <c r="G77" i="22"/>
  <c r="G88" i="22"/>
  <c r="G96" i="22"/>
  <c r="G106" i="22"/>
  <c r="G107" i="22"/>
  <c r="H110" i="22"/>
  <c r="G111" i="22"/>
  <c r="G113" i="22"/>
  <c r="H117" i="22"/>
  <c r="H51" i="22"/>
  <c r="G57" i="22"/>
  <c r="G65" i="22"/>
  <c r="G73" i="22"/>
  <c r="G81" i="22"/>
  <c r="G92" i="22"/>
  <c r="H97" i="22"/>
  <c r="G101" i="22"/>
  <c r="G103" i="22"/>
  <c r="G105" i="22"/>
  <c r="H109" i="22"/>
  <c r="G114" i="22"/>
  <c r="G115" i="22"/>
  <c r="H118" i="22"/>
  <c r="G119" i="22"/>
  <c r="H125" i="22"/>
  <c r="G26" i="22"/>
  <c r="G32" i="22"/>
  <c r="G34" i="22"/>
  <c r="G36" i="22"/>
  <c r="G41" i="22"/>
  <c r="G43" i="22"/>
  <c r="G45" i="22"/>
  <c r="G47" i="22"/>
  <c r="G52" i="22"/>
  <c r="G108" i="22"/>
  <c r="G116" i="22"/>
  <c r="G124" i="22"/>
  <c r="G24" i="22"/>
  <c r="G28" i="22"/>
  <c r="G30" i="22"/>
  <c r="H49" i="22"/>
  <c r="G50" i="22"/>
  <c r="H58" i="22"/>
  <c r="H62" i="22"/>
  <c r="H66" i="22"/>
  <c r="H70" i="22"/>
  <c r="H74" i="22"/>
  <c r="H78" i="22"/>
  <c r="H85" i="22"/>
  <c r="H89" i="22"/>
  <c r="H93" i="22"/>
  <c r="G102" i="22"/>
  <c r="G53" i="22"/>
  <c r="H59" i="22"/>
  <c r="G60" i="22"/>
  <c r="H63" i="22"/>
  <c r="G64" i="22"/>
  <c r="H67" i="22"/>
  <c r="G68" i="22"/>
  <c r="H71" i="22"/>
  <c r="G72" i="22"/>
  <c r="H75" i="22"/>
  <c r="G76" i="22"/>
  <c r="H79" i="22"/>
  <c r="G80" i="22"/>
  <c r="H86" i="22"/>
  <c r="G87" i="22"/>
  <c r="H90" i="22"/>
  <c r="G91" i="22"/>
  <c r="H94" i="22"/>
  <c r="G95" i="22"/>
  <c r="G104" i="22"/>
  <c r="G109" i="22"/>
  <c r="G112" i="22"/>
  <c r="G117" i="22"/>
  <c r="G125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41" i="22"/>
  <c r="H42" i="22"/>
  <c r="H43" i="22"/>
  <c r="H44" i="22"/>
  <c r="H45" i="22"/>
  <c r="H46" i="22"/>
  <c r="H47" i="22"/>
  <c r="H48" i="22"/>
  <c r="H50" i="22"/>
  <c r="H52" i="22"/>
  <c r="H105" i="22"/>
  <c r="H108" i="22"/>
  <c r="H113" i="22"/>
  <c r="H116" i="22"/>
  <c r="H121" i="22"/>
  <c r="H124" i="22"/>
  <c r="H103" i="22"/>
  <c r="H106" i="22"/>
  <c r="H111" i="22"/>
  <c r="H114" i="22"/>
  <c r="H119" i="22"/>
  <c r="H122" i="22"/>
  <c r="AC4" i="13"/>
  <c r="AC5" i="13" s="1"/>
  <c r="AC6" i="13" s="1"/>
  <c r="AC7" i="13" s="1"/>
  <c r="AC8" i="13" s="1"/>
  <c r="AC9" i="13" s="1"/>
  <c r="AC10" i="13" s="1"/>
  <c r="AC11" i="13" s="1"/>
  <c r="AC12" i="13" s="1"/>
  <c r="AC13" i="13" s="1"/>
  <c r="AA4" i="13"/>
  <c r="AA5" i="13" s="1"/>
  <c r="AA6" i="13" s="1"/>
  <c r="AA7" i="13" s="1"/>
  <c r="AA8" i="13" s="1"/>
  <c r="AA9" i="13" s="1"/>
  <c r="AA10" i="13" s="1"/>
  <c r="AA11" i="13" s="1"/>
  <c r="AA12" i="13" s="1"/>
  <c r="AA13" i="13" s="1"/>
  <c r="Y4" i="13"/>
  <c r="Y5" i="13" s="1"/>
  <c r="Y6" i="13" s="1"/>
  <c r="Y7" i="13" s="1"/>
  <c r="Y8" i="13" s="1"/>
  <c r="Y9" i="13" s="1"/>
  <c r="Y10" i="13" s="1"/>
  <c r="Y11" i="13" s="1"/>
  <c r="Y12" i="13" s="1"/>
  <c r="Y13" i="13" s="1"/>
  <c r="W4" i="13"/>
  <c r="W5" i="13" s="1"/>
  <c r="W6" i="13" s="1"/>
  <c r="W7" i="13" s="1"/>
  <c r="W8" i="13" s="1"/>
  <c r="W9" i="13" s="1"/>
  <c r="W10" i="13" s="1"/>
  <c r="W11" i="13" s="1"/>
  <c r="W12" i="13" s="1"/>
  <c r="W13" i="13" s="1"/>
  <c r="U4" i="13"/>
  <c r="U5" i="13" s="1"/>
  <c r="U6" i="13" s="1"/>
  <c r="U7" i="13" s="1"/>
  <c r="U8" i="13" s="1"/>
  <c r="U9" i="13" s="1"/>
  <c r="U10" i="13" s="1"/>
  <c r="U11" i="13" s="1"/>
  <c r="U12" i="13" s="1"/>
  <c r="U13" i="13" s="1"/>
  <c r="S4" i="13"/>
  <c r="S5" i="13" s="1"/>
  <c r="S6" i="13" s="1"/>
  <c r="S7" i="13" s="1"/>
  <c r="S8" i="13" s="1"/>
  <c r="S9" i="13" s="1"/>
  <c r="S10" i="13" s="1"/>
  <c r="S11" i="13" s="1"/>
  <c r="S12" i="13" s="1"/>
  <c r="S13" i="13" s="1"/>
  <c r="S14" i="13" s="1"/>
  <c r="S15" i="13" s="1"/>
  <c r="S16" i="13" s="1"/>
  <c r="S17" i="13" s="1"/>
  <c r="S18" i="13" s="1"/>
  <c r="S19" i="13" s="1"/>
  <c r="S20" i="13" s="1"/>
  <c r="S21" i="13" s="1"/>
  <c r="S22" i="13" s="1"/>
  <c r="S23" i="13" s="1"/>
  <c r="S24" i="13" s="1"/>
  <c r="S25" i="13" s="1"/>
  <c r="S26" i="13" s="1"/>
  <c r="S27" i="13" s="1"/>
  <c r="S28" i="13" s="1"/>
  <c r="S29" i="13" s="1"/>
  <c r="S30" i="13" s="1"/>
  <c r="S31" i="13" s="1"/>
  <c r="S32" i="13" s="1"/>
  <c r="S33" i="13" s="1"/>
  <c r="E4" i="13"/>
  <c r="E5" i="13" s="1"/>
  <c r="E6" i="13" s="1"/>
  <c r="E7" i="13" s="1"/>
  <c r="E8" i="13" s="1"/>
  <c r="E9" i="13" s="1"/>
  <c r="E10" i="13" s="1"/>
  <c r="E11" i="13" s="1"/>
  <c r="E12" i="13" s="1"/>
  <c r="E13" i="13" s="1"/>
  <c r="I14" i="4"/>
  <c r="I10" i="4"/>
  <c r="B10" i="4"/>
  <c r="B26" i="4" s="1"/>
  <c r="M93" i="17"/>
  <c r="K93" i="17"/>
  <c r="T31" i="17"/>
  <c r="M31" i="17"/>
  <c r="K31" i="17"/>
  <c r="F6" i="4" s="1"/>
  <c r="F26" i="4" s="1"/>
  <c r="M62" i="17"/>
  <c r="G10" i="4" s="1"/>
  <c r="AN11" i="17"/>
  <c r="AN10" i="17"/>
  <c r="AN9" i="17"/>
  <c r="AN8" i="17"/>
  <c r="AN7" i="17"/>
  <c r="AN6" i="17"/>
  <c r="AN5" i="17"/>
  <c r="AN4" i="17"/>
  <c r="AM11" i="17"/>
  <c r="AM10" i="17"/>
  <c r="AM9" i="17"/>
  <c r="AM8" i="17"/>
  <c r="AM7" i="17"/>
  <c r="AM6" i="17"/>
  <c r="AM5" i="17"/>
  <c r="AM4" i="17"/>
  <c r="AO11" i="17"/>
  <c r="AO10" i="17"/>
  <c r="AO9" i="17"/>
  <c r="AO8" i="17"/>
  <c r="AO7" i="17"/>
  <c r="AO6" i="17"/>
  <c r="AO5" i="17"/>
  <c r="AO4" i="17"/>
  <c r="AP11" i="17"/>
  <c r="AP10" i="17"/>
  <c r="AP9" i="17"/>
  <c r="AP8" i="17"/>
  <c r="AP7" i="17"/>
  <c r="AP6" i="17"/>
  <c r="AP5" i="17"/>
  <c r="AP4" i="17"/>
  <c r="O6" i="15"/>
  <c r="O19" i="15"/>
  <c r="M15" i="14" l="1"/>
  <c r="AH10" i="4" s="1"/>
  <c r="O15" i="14"/>
  <c r="AJ10" i="4" s="1"/>
  <c r="E14" i="26"/>
  <c r="AK14" i="4"/>
  <c r="E13" i="26"/>
  <c r="M19" i="14"/>
  <c r="M20" i="14"/>
  <c r="M21" i="14"/>
  <c r="D13" i="26"/>
  <c r="AJ14" i="4"/>
  <c r="AA14" i="4"/>
  <c r="AB8" i="4"/>
  <c r="P21" i="14" s="1"/>
  <c r="W12" i="4"/>
  <c r="I26" i="4"/>
  <c r="L119" i="22"/>
  <c r="Y12" i="4" s="1"/>
  <c r="W6" i="4"/>
  <c r="N15" i="14" s="1"/>
  <c r="G14" i="4"/>
  <c r="G26" i="4" s="1"/>
  <c r="G25" i="14"/>
  <c r="W14" i="13"/>
  <c r="W15" i="13" s="1"/>
  <c r="W16" i="13" s="1"/>
  <c r="W17" i="13" s="1"/>
  <c r="W18" i="13" s="1"/>
  <c r="W19" i="13" s="1"/>
  <c r="W20" i="13" s="1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F5" i="15"/>
  <c r="AA14" i="13"/>
  <c r="AA15" i="13" s="1"/>
  <c r="AA16" i="13" s="1"/>
  <c r="AA17" i="13" s="1"/>
  <c r="AA18" i="13" s="1"/>
  <c r="AA19" i="13" s="1"/>
  <c r="AA20" i="13" s="1"/>
  <c r="AA21" i="13" s="1"/>
  <c r="AA22" i="13" s="1"/>
  <c r="AA23" i="13" s="1"/>
  <c r="AA24" i="13" s="1"/>
  <c r="AA25" i="13" s="1"/>
  <c r="AA26" i="13" s="1"/>
  <c r="AA27" i="13" s="1"/>
  <c r="AA28" i="13" s="1"/>
  <c r="AA29" i="13" s="1"/>
  <c r="AA30" i="13" s="1"/>
  <c r="AA31" i="13" s="1"/>
  <c r="AA32" i="13" s="1"/>
  <c r="AA33" i="13" s="1"/>
  <c r="F6" i="15"/>
  <c r="Y14" i="13"/>
  <c r="Y15" i="13" s="1"/>
  <c r="Y16" i="13" s="1"/>
  <c r="Y17" i="13" s="1"/>
  <c r="Y18" i="13" s="1"/>
  <c r="Y19" i="13" s="1"/>
  <c r="Y20" i="13" s="1"/>
  <c r="Y21" i="13" s="1"/>
  <c r="Y22" i="13" s="1"/>
  <c r="Y23" i="13" s="1"/>
  <c r="Y24" i="13" s="1"/>
  <c r="Y25" i="13" s="1"/>
  <c r="Y26" i="13" s="1"/>
  <c r="Y27" i="13" s="1"/>
  <c r="Y28" i="13" s="1"/>
  <c r="Y29" i="13" s="1"/>
  <c r="Y30" i="13" s="1"/>
  <c r="Y31" i="13" s="1"/>
  <c r="Y32" i="13" s="1"/>
  <c r="Y33" i="13" s="1"/>
  <c r="F7" i="15"/>
  <c r="U14" i="13"/>
  <c r="U15" i="13" s="1"/>
  <c r="U16" i="13" s="1"/>
  <c r="U17" i="13" s="1"/>
  <c r="U18" i="13" s="1"/>
  <c r="U19" i="13" s="1"/>
  <c r="U20" i="13" s="1"/>
  <c r="U21" i="13" s="1"/>
  <c r="U22" i="13" s="1"/>
  <c r="U23" i="13" s="1"/>
  <c r="U24" i="13" s="1"/>
  <c r="U25" i="13" s="1"/>
  <c r="U26" i="13" s="1"/>
  <c r="U27" i="13" s="1"/>
  <c r="U28" i="13" s="1"/>
  <c r="U29" i="13" s="1"/>
  <c r="U30" i="13" s="1"/>
  <c r="U31" i="13" s="1"/>
  <c r="U32" i="13" s="1"/>
  <c r="U33" i="13" s="1"/>
  <c r="F3" i="15"/>
  <c r="AC14" i="13"/>
  <c r="AC15" i="13" s="1"/>
  <c r="AC16" i="13" s="1"/>
  <c r="AC17" i="13" s="1"/>
  <c r="AC18" i="13" s="1"/>
  <c r="AC19" i="13" s="1"/>
  <c r="AC20" i="13" s="1"/>
  <c r="AC21" i="13" s="1"/>
  <c r="AC22" i="13" s="1"/>
  <c r="AC23" i="13" s="1"/>
  <c r="AC24" i="13" s="1"/>
  <c r="AC25" i="13" s="1"/>
  <c r="AC26" i="13" s="1"/>
  <c r="AC27" i="13" s="1"/>
  <c r="AC28" i="13" s="1"/>
  <c r="AC29" i="13" s="1"/>
  <c r="AC30" i="13" s="1"/>
  <c r="AC31" i="13" s="1"/>
  <c r="AC32" i="13" s="1"/>
  <c r="AC33" i="13" s="1"/>
  <c r="F4" i="15"/>
  <c r="E14" i="13"/>
  <c r="E15" i="13" s="1"/>
  <c r="E16" i="13" s="1"/>
  <c r="E17" i="13" s="1"/>
  <c r="E18" i="13" s="1"/>
  <c r="E19" i="13" s="1"/>
  <c r="E20" i="13" s="1"/>
  <c r="E21" i="13" s="1"/>
  <c r="E22" i="13" s="1"/>
  <c r="E23" i="13" s="1"/>
  <c r="E24" i="13" s="1"/>
  <c r="E25" i="13" s="1"/>
  <c r="E26" i="13" s="1"/>
  <c r="E27" i="13" s="1"/>
  <c r="E28" i="13" s="1"/>
  <c r="E29" i="13" s="1"/>
  <c r="E30" i="13" s="1"/>
  <c r="E31" i="13" s="1"/>
  <c r="E32" i="13" s="1"/>
  <c r="E33" i="13" s="1"/>
  <c r="O13" i="15"/>
  <c r="O17" i="15"/>
  <c r="O16" i="15"/>
  <c r="S6" i="14" s="1"/>
  <c r="O15" i="15"/>
  <c r="O10" i="15"/>
  <c r="S7" i="14" s="1"/>
  <c r="O12" i="15"/>
  <c r="O9" i="15"/>
  <c r="C7" i="15" l="1"/>
  <c r="S10" i="14" s="1"/>
  <c r="O16" i="14"/>
  <c r="AJ11" i="4" s="1"/>
  <c r="M16" i="14"/>
  <c r="AH11" i="4" s="1"/>
  <c r="AK16" i="4"/>
  <c r="E15" i="26"/>
  <c r="O17" i="14"/>
  <c r="AJ12" i="4" s="1"/>
  <c r="AH12" i="4"/>
  <c r="C14" i="26"/>
  <c r="AI15" i="4"/>
  <c r="C13" i="26"/>
  <c r="AI14" i="4"/>
  <c r="P15" i="14"/>
  <c r="AK10" i="4" s="1"/>
  <c r="AI10" i="4"/>
  <c r="C15" i="26"/>
  <c r="AI16" i="4"/>
  <c r="M7" i="14"/>
  <c r="AH2" i="4" s="1"/>
  <c r="P9" i="14"/>
  <c r="AK4" i="4" s="1"/>
  <c r="P10" i="14"/>
  <c r="AK5" i="4" s="1"/>
  <c r="P11" i="14"/>
  <c r="AK6" i="4" s="1"/>
  <c r="Y6" i="4"/>
  <c r="S26" i="14"/>
  <c r="E4" i="26" l="1"/>
  <c r="G58" i="14"/>
  <c r="G42" i="14"/>
  <c r="G63" i="14"/>
  <c r="F17" i="15" l="1"/>
  <c r="U70" i="13"/>
  <c r="G23" i="14"/>
  <c r="S15" i="14"/>
  <c r="S24" i="14"/>
  <c r="B9" i="26"/>
  <c r="F5" i="26" s="1"/>
  <c r="C9" i="26"/>
  <c r="G5" i="26" s="1"/>
  <c r="G9" i="14"/>
  <c r="E2" i="26"/>
  <c r="S18" i="14"/>
  <c r="M8" i="14" l="1"/>
  <c r="AH3" i="4" s="1"/>
  <c r="M10" i="14"/>
  <c r="AH5" i="4" s="1"/>
  <c r="M9" i="14"/>
  <c r="AH4" i="4" s="1"/>
  <c r="H5" i="26"/>
  <c r="F13" i="26" s="1"/>
  <c r="E7" i="26"/>
  <c r="U71" i="13"/>
  <c r="U72" i="13" s="1"/>
  <c r="U73" i="13" s="1"/>
  <c r="U74" i="13" s="1"/>
  <c r="U75" i="13" s="1"/>
  <c r="U76" i="13" s="1"/>
  <c r="U77" i="13" s="1"/>
  <c r="U78" i="13" s="1"/>
  <c r="U79" i="13" s="1"/>
  <c r="D9" i="26"/>
  <c r="E9" i="26"/>
  <c r="V60" i="15"/>
  <c r="S19" i="14"/>
  <c r="M11" i="14"/>
  <c r="B6" i="26" l="1"/>
  <c r="AH6" i="4"/>
  <c r="D11" i="26"/>
  <c r="B11" i="26"/>
  <c r="D10" i="26"/>
  <c r="B10" i="26"/>
  <c r="G35" i="14"/>
  <c r="E6" i="26"/>
  <c r="U80" i="13" l="1"/>
  <c r="U81" i="13" s="1"/>
  <c r="U82" i="13" s="1"/>
  <c r="U83" i="13" s="1"/>
  <c r="U84" i="13" s="1"/>
  <c r="U85" i="13" s="1"/>
  <c r="U86" i="13" s="1"/>
  <c r="U87" i="13" s="1"/>
  <c r="U88" i="13" s="1"/>
  <c r="U89" i="13" s="1"/>
  <c r="U90" i="13" s="1"/>
  <c r="U91" i="13" s="1"/>
  <c r="U92" i="13" s="1"/>
  <c r="U93" i="13" s="1"/>
  <c r="U94" i="13" s="1"/>
  <c r="U95" i="13" s="1"/>
  <c r="B2" i="26"/>
  <c r="U96" i="13" l="1"/>
  <c r="U97" i="13" s="1"/>
  <c r="U98" i="13" s="1"/>
  <c r="U99" i="13" s="1"/>
  <c r="F13" i="15"/>
  <c r="P8" i="14" s="1"/>
  <c r="F3" i="26"/>
  <c r="G3" i="26"/>
  <c r="E5" i="26"/>
  <c r="AK3" i="4" l="1"/>
  <c r="E3" i="26"/>
  <c r="H3" i="26"/>
  <c r="F11" i="26" s="1"/>
  <c r="G51" i="14"/>
  <c r="E1" i="14" l="1"/>
  <c r="I1" i="14" l="1"/>
  <c r="K4" i="14" s="1"/>
  <c r="F10" i="19" l="1"/>
  <c r="B3" i="26" l="1"/>
  <c r="B4" i="26"/>
  <c r="B5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viktor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1. при выставлении уровней навыков, характеристики выставить в 5. 
2. При проверке результатов, выставить в финальную генетику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max 5
</t>
        </r>
      </text>
    </comment>
    <comment ref="B3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04"/>
          </rPr>
          <t>max 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3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04"/>
          </rPr>
          <t>25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3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04"/>
          </rPr>
          <t xml:space="preserve">скопировать опыт
из свободного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4" authorId="0" shapeId="0" xr:uid="{00000000-0006-0000-0000-000006000000}">
      <text>
        <r>
          <rPr>
            <sz val="9"/>
            <color indexed="81"/>
            <rFont val="Tahoma"/>
            <family val="2"/>
            <charset val="204"/>
          </rPr>
          <t xml:space="preserve">max 5
</t>
        </r>
      </text>
    </comment>
    <comment ref="J4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04"/>
          </rPr>
          <t>25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5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04"/>
          </rPr>
          <t>max 5</t>
        </r>
      </text>
    </comment>
    <comment ref="J5" authorId="0" shapeId="0" xr:uid="{00000000-0006-0000-0000-000009000000}">
      <text>
        <r>
          <rPr>
            <b/>
            <sz val="9"/>
            <color indexed="81"/>
            <rFont val="Tahoma"/>
            <family val="2"/>
            <charset val="204"/>
          </rPr>
          <t>25max
повышает восприятие персонажа 8% за уровень
1% критическому попаданию, если выше 10</t>
        </r>
      </text>
    </comment>
    <comment ref="B6" authorId="0" shapeId="0" xr:uid="{00000000-0006-0000-0000-00000A000000}">
      <text>
        <r>
          <rPr>
            <b/>
            <sz val="9"/>
            <color indexed="81"/>
            <rFont val="Tahoma"/>
            <family val="2"/>
            <charset val="204"/>
          </rPr>
          <t>max 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6" authorId="0" shapeId="0" xr:uid="{00000000-0006-0000-0000-00000B000000}">
      <text>
        <r>
          <rPr>
            <b/>
            <sz val="9"/>
            <color indexed="81"/>
            <rFont val="Tahoma"/>
            <family val="2"/>
            <charset val="204"/>
          </rPr>
          <t>25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7" authorId="0" shapeId="0" xr:uid="{00000000-0006-0000-0000-00000C000000}">
      <text>
        <r>
          <rPr>
            <b/>
            <sz val="9"/>
            <color indexed="81"/>
            <rFont val="Tahoma"/>
            <family val="2"/>
            <charset val="204"/>
          </rPr>
          <t>max 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7" authorId="0" shapeId="0" xr:uid="{00000000-0006-0000-0000-00000D000000}">
      <text>
        <r>
          <rPr>
            <b/>
            <sz val="9"/>
            <color indexed="81"/>
            <rFont val="Tahoma"/>
            <family val="2"/>
            <charset val="204"/>
          </rPr>
          <t>25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8" authorId="0" shapeId="0" xr:uid="{00000000-0006-0000-0000-00000E000000}">
      <text>
        <r>
          <rPr>
            <b/>
            <sz val="9"/>
            <color indexed="81"/>
            <rFont val="Tahoma"/>
            <family val="2"/>
            <charset val="204"/>
          </rPr>
          <t>25</t>
        </r>
      </text>
    </comment>
    <comment ref="J11" authorId="0" shapeId="0" xr:uid="{00000000-0006-0000-0000-00000F000000}">
      <text>
        <r>
          <rPr>
            <b/>
            <sz val="9"/>
            <color indexed="81"/>
            <rFont val="Tahoma"/>
            <family val="2"/>
            <charset val="204"/>
          </rPr>
          <t>30</t>
        </r>
      </text>
    </comment>
    <comment ref="J12" authorId="0" shapeId="0" xr:uid="{00000000-0006-0000-0000-000010000000}">
      <text>
        <r>
          <rPr>
            <b/>
            <sz val="9"/>
            <color indexed="81"/>
            <rFont val="Tahoma"/>
            <family val="2"/>
            <charset val="204"/>
          </rPr>
          <t>30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13" authorId="0" shapeId="0" xr:uid="{00000000-0006-0000-0000-000011000000}">
      <text>
        <r>
          <rPr>
            <b/>
            <sz val="9"/>
            <color indexed="81"/>
            <rFont val="Tahoma"/>
            <family val="2"/>
            <charset val="204"/>
          </rPr>
          <t>30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14" authorId="0" shapeId="0" xr:uid="{00000000-0006-0000-0000-000012000000}">
      <text>
        <r>
          <rPr>
            <b/>
            <sz val="9"/>
            <color indexed="81"/>
            <rFont val="Tahoma"/>
            <family val="2"/>
            <charset val="204"/>
          </rPr>
          <t>30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15" authorId="0" shapeId="0" xr:uid="{00000000-0006-0000-0000-000013000000}">
      <text>
        <r>
          <rPr>
            <b/>
            <sz val="9"/>
            <color indexed="81"/>
            <rFont val="Tahoma"/>
            <family val="2"/>
            <charset val="204"/>
          </rPr>
          <t>30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16" authorId="0" shapeId="0" xr:uid="{00000000-0006-0000-0000-000014000000}">
      <text>
        <r>
          <rPr>
            <b/>
            <sz val="9"/>
            <color indexed="81"/>
            <rFont val="Tahoma"/>
            <family val="2"/>
            <charset val="204"/>
          </rPr>
          <t>35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17" authorId="0" shapeId="0" xr:uid="{00000000-0006-0000-0000-000015000000}">
      <text>
        <r>
          <rPr>
            <b/>
            <sz val="9"/>
            <color indexed="81"/>
            <rFont val="Tahoma"/>
            <family val="2"/>
            <charset val="204"/>
          </rPr>
          <t>35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18" authorId="0" shapeId="0" xr:uid="{00000000-0006-0000-0000-000016000000}">
      <text>
        <r>
          <rPr>
            <b/>
            <sz val="9"/>
            <color indexed="81"/>
            <rFont val="Tahoma"/>
            <family val="2"/>
            <charset val="204"/>
          </rPr>
          <t>35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19" authorId="0" shapeId="0" xr:uid="{00000000-0006-0000-0000-000017000000}">
      <text>
        <r>
          <rPr>
            <b/>
            <sz val="9"/>
            <color indexed="81"/>
            <rFont val="Tahoma"/>
            <family val="2"/>
            <charset val="204"/>
          </rPr>
          <t>35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20" authorId="0" shapeId="0" xr:uid="{00000000-0006-0000-0000-000018000000}">
      <text>
        <r>
          <rPr>
            <b/>
            <sz val="9"/>
            <color indexed="81"/>
            <rFont val="Tahoma"/>
            <family val="2"/>
            <charset val="204"/>
          </rPr>
          <t>30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21" authorId="0" shapeId="0" xr:uid="{00000000-0006-0000-0000-000019000000}">
      <text>
        <r>
          <rPr>
            <b/>
            <sz val="9"/>
            <color indexed="81"/>
            <rFont val="Tahoma"/>
            <family val="2"/>
            <charset val="204"/>
          </rPr>
          <t>30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22" authorId="0" shapeId="0" xr:uid="{00000000-0006-0000-0000-00001A000000}">
      <text>
        <r>
          <rPr>
            <b/>
            <sz val="9"/>
            <color indexed="81"/>
            <rFont val="Tahoma"/>
            <family val="2"/>
            <charset val="204"/>
          </rPr>
          <t>30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25" authorId="0" shapeId="0" xr:uid="{00000000-0006-0000-0000-00001B000000}">
      <text>
        <r>
          <rPr>
            <b/>
            <sz val="9"/>
            <color indexed="81"/>
            <rFont val="Tahoma"/>
            <family val="2"/>
            <charset val="204"/>
          </rPr>
          <t>30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26" authorId="0" shapeId="0" xr:uid="{00000000-0006-0000-0000-00001C000000}">
      <text>
        <r>
          <rPr>
            <b/>
            <sz val="9"/>
            <color indexed="81"/>
            <rFont val="Tahoma"/>
            <family val="2"/>
            <charset val="204"/>
          </rPr>
          <t>30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27" authorId="0" shapeId="0" xr:uid="{00000000-0006-0000-0000-00001D000000}">
      <text>
        <r>
          <rPr>
            <b/>
            <sz val="9"/>
            <color indexed="81"/>
            <rFont val="Tahoma"/>
            <family val="2"/>
            <charset val="204"/>
          </rPr>
          <t>30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28" authorId="0" shapeId="0" xr:uid="{00000000-0006-0000-0000-00001E000000}">
      <text>
        <r>
          <rPr>
            <b/>
            <sz val="9"/>
            <color indexed="81"/>
            <rFont val="Tahoma"/>
            <family val="2"/>
            <charset val="204"/>
          </rPr>
          <t>30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29" authorId="0" shapeId="0" xr:uid="{00000000-0006-0000-0000-00001F000000}">
      <text>
        <r>
          <rPr>
            <b/>
            <sz val="9"/>
            <color indexed="81"/>
            <rFont val="Tahoma"/>
            <family val="2"/>
            <charset val="204"/>
          </rPr>
          <t>30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30" authorId="0" shapeId="0" xr:uid="{00000000-0006-0000-0000-000020000000}">
      <text>
        <r>
          <rPr>
            <b/>
            <sz val="9"/>
            <color indexed="81"/>
            <rFont val="Tahoma"/>
            <family val="2"/>
            <charset val="204"/>
          </rPr>
          <t>35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31" authorId="0" shapeId="0" xr:uid="{00000000-0006-0000-0000-000021000000}">
      <text>
        <r>
          <rPr>
            <b/>
            <sz val="9"/>
            <color indexed="81"/>
            <rFont val="Tahoma"/>
            <family val="2"/>
            <charset val="204"/>
          </rPr>
          <t>35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32" authorId="0" shapeId="0" xr:uid="{00000000-0006-0000-0000-000022000000}">
      <text>
        <r>
          <rPr>
            <b/>
            <sz val="9"/>
            <color indexed="81"/>
            <rFont val="Tahoma"/>
            <family val="2"/>
            <charset val="204"/>
          </rPr>
          <t>35</t>
        </r>
      </text>
    </comment>
    <comment ref="J33" authorId="0" shapeId="0" xr:uid="{00000000-0006-0000-0000-000023000000}">
      <text>
        <r>
          <rPr>
            <b/>
            <sz val="9"/>
            <color indexed="81"/>
            <rFont val="Tahoma"/>
            <family val="2"/>
            <charset val="204"/>
          </rPr>
          <t>25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34" authorId="0" shapeId="0" xr:uid="{00000000-0006-0000-0000-000024000000}">
      <text>
        <r>
          <rPr>
            <b/>
            <sz val="9"/>
            <color indexed="81"/>
            <rFont val="Tahoma"/>
            <family val="2"/>
            <charset val="204"/>
          </rPr>
          <t>30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37" authorId="0" shapeId="0" xr:uid="{00000000-0006-0000-0000-000025000000}">
      <text>
        <r>
          <rPr>
            <b/>
            <sz val="9"/>
            <color indexed="81"/>
            <rFont val="Tahoma"/>
            <family val="2"/>
            <charset val="204"/>
          </rPr>
          <t>20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38" authorId="0" shapeId="0" xr:uid="{00000000-0006-0000-0000-000026000000}">
      <text>
        <r>
          <rPr>
            <b/>
            <sz val="9"/>
            <color indexed="81"/>
            <rFont val="Tahoma"/>
            <family val="2"/>
            <charset val="204"/>
          </rPr>
          <t>30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39" authorId="0" shapeId="0" xr:uid="{00000000-0006-0000-0000-000027000000}">
      <text>
        <r>
          <rPr>
            <b/>
            <sz val="9"/>
            <color indexed="81"/>
            <rFont val="Tahoma"/>
            <family val="2"/>
            <charset val="204"/>
          </rPr>
          <t>30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40" authorId="0" shapeId="0" xr:uid="{00000000-0006-0000-0000-000028000000}">
      <text>
        <r>
          <rPr>
            <b/>
            <sz val="9"/>
            <color indexed="81"/>
            <rFont val="Tahoma"/>
            <family val="2"/>
            <charset val="204"/>
          </rPr>
          <t>30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41" authorId="0" shapeId="0" xr:uid="{00000000-0006-0000-0000-000029000000}">
      <text>
        <r>
          <rPr>
            <b/>
            <sz val="9"/>
            <color indexed="81"/>
            <rFont val="Tahoma"/>
            <family val="2"/>
            <charset val="204"/>
          </rPr>
          <t>30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44" authorId="0" shapeId="0" xr:uid="{00000000-0006-0000-0000-00002A000000}">
      <text>
        <r>
          <rPr>
            <b/>
            <sz val="9"/>
            <color indexed="81"/>
            <rFont val="Tahoma"/>
            <family val="2"/>
            <charset val="204"/>
          </rPr>
          <t>15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45" authorId="0" shapeId="0" xr:uid="{00000000-0006-0000-0000-00002B000000}">
      <text>
        <r>
          <rPr>
            <b/>
            <sz val="9"/>
            <color indexed="81"/>
            <rFont val="Tahoma"/>
            <family val="2"/>
            <charset val="204"/>
          </rPr>
          <t>15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46" authorId="0" shapeId="0" xr:uid="{00000000-0006-0000-0000-00002C000000}">
      <text>
        <r>
          <rPr>
            <b/>
            <sz val="9"/>
            <color indexed="81"/>
            <rFont val="Tahoma"/>
            <family val="2"/>
            <charset val="204"/>
          </rPr>
          <t>15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47" authorId="0" shapeId="0" xr:uid="{00000000-0006-0000-0000-00002D000000}">
      <text>
        <r>
          <rPr>
            <b/>
            <sz val="9"/>
            <color indexed="81"/>
            <rFont val="Tahoma"/>
            <family val="2"/>
            <charset val="204"/>
          </rPr>
          <t>15</t>
        </r>
      </text>
    </comment>
    <comment ref="J48" authorId="0" shapeId="0" xr:uid="{00000000-0006-0000-0000-00002E000000}">
      <text>
        <r>
          <rPr>
            <b/>
            <sz val="9"/>
            <color indexed="81"/>
            <rFont val="Tahoma"/>
            <family val="2"/>
            <charset val="204"/>
          </rPr>
          <t>15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49" authorId="0" shapeId="0" xr:uid="{00000000-0006-0000-0000-00002F000000}">
      <text>
        <r>
          <rPr>
            <b/>
            <sz val="9"/>
            <color indexed="81"/>
            <rFont val="Tahoma"/>
            <family val="2"/>
            <charset val="204"/>
          </rPr>
          <t>15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50" authorId="0" shapeId="0" xr:uid="{00000000-0006-0000-0000-000030000000}">
      <text>
        <r>
          <rPr>
            <b/>
            <sz val="9"/>
            <color indexed="81"/>
            <rFont val="Tahoma"/>
            <family val="2"/>
            <charset val="204"/>
          </rPr>
          <t>30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53" authorId="0" shapeId="0" xr:uid="{00000000-0006-0000-0000-000031000000}">
      <text>
        <r>
          <rPr>
            <b/>
            <sz val="9"/>
            <color indexed="81"/>
            <rFont val="Tahoma"/>
            <family val="2"/>
            <charset val="204"/>
          </rPr>
          <t>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54" authorId="0" shapeId="0" xr:uid="{00000000-0006-0000-0000-000032000000}">
      <text>
        <r>
          <rPr>
            <b/>
            <sz val="9"/>
            <color indexed="81"/>
            <rFont val="Tahoma"/>
            <family val="2"/>
            <charset val="204"/>
          </rPr>
          <t>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55" authorId="0" shapeId="0" xr:uid="{00000000-0006-0000-0000-000033000000}">
      <text>
        <r>
          <rPr>
            <b/>
            <sz val="9"/>
            <color indexed="81"/>
            <rFont val="Tahoma"/>
            <family val="2"/>
            <charset val="204"/>
          </rPr>
          <t>15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56" authorId="0" shapeId="0" xr:uid="{00000000-0006-0000-0000-000034000000}">
      <text>
        <r>
          <rPr>
            <b/>
            <sz val="9"/>
            <color indexed="81"/>
            <rFont val="Tahoma"/>
            <family val="2"/>
            <charset val="204"/>
          </rPr>
          <t>15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57" authorId="0" shapeId="0" xr:uid="{00000000-0006-0000-0000-000035000000}">
      <text>
        <r>
          <rPr>
            <b/>
            <sz val="9"/>
            <color indexed="81"/>
            <rFont val="Tahoma"/>
            <family val="2"/>
            <charset val="204"/>
          </rPr>
          <t>20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60" authorId="0" shapeId="0" xr:uid="{00000000-0006-0000-0000-000036000000}">
      <text>
        <r>
          <rPr>
            <b/>
            <sz val="9"/>
            <color indexed="81"/>
            <rFont val="Tahoma"/>
            <family val="2"/>
            <charset val="204"/>
          </rPr>
          <t>25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61" authorId="0" shapeId="0" xr:uid="{00000000-0006-0000-0000-000037000000}">
      <text>
        <r>
          <rPr>
            <b/>
            <sz val="9"/>
            <color indexed="81"/>
            <rFont val="Tahoma"/>
            <family val="2"/>
            <charset val="204"/>
          </rPr>
          <t>25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62" authorId="0" shapeId="0" xr:uid="{00000000-0006-0000-0000-000038000000}">
      <text>
        <r>
          <rPr>
            <b/>
            <sz val="9"/>
            <color indexed="81"/>
            <rFont val="Tahoma"/>
            <family val="2"/>
            <charset val="204"/>
          </rPr>
          <t>25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viktor</author>
  </authors>
  <commentList>
    <comment ref="I1" authorId="0" shapeId="0" xr:uid="{00000000-0006-0000-0700-000001000000}">
      <text>
        <r>
          <rPr>
            <sz val="9"/>
            <color indexed="81"/>
            <rFont val="Tahoma"/>
            <family val="2"/>
            <charset val="204"/>
          </rPr>
          <t xml:space="preserve">вручную забить параметры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123</author>
  </authors>
  <commentList>
    <comment ref="J91" authorId="0" shapeId="0" xr:uid="{00000000-0006-0000-0A00-000001000000}">
      <text>
        <r>
          <rPr>
            <b/>
            <sz val="9"/>
            <color indexed="81"/>
            <rFont val="Tahoma"/>
            <family val="2"/>
            <charset val="204"/>
          </rPr>
          <t>от крит уклонения</t>
        </r>
      </text>
    </comment>
    <comment ref="J92" authorId="0" shapeId="0" xr:uid="{00000000-0006-0000-0A00-000002000000}">
      <text>
        <r>
          <rPr>
            <b/>
            <sz val="9"/>
            <color indexed="81"/>
            <rFont val="Tahoma"/>
            <family val="2"/>
            <charset val="204"/>
          </rPr>
          <t xml:space="preserve">от крит уклонения
</t>
        </r>
      </text>
    </comment>
  </commentList>
</comments>
</file>

<file path=xl/sharedStrings.xml><?xml version="1.0" encoding="utf-8"?>
<sst xmlns="http://schemas.openxmlformats.org/spreadsheetml/2006/main" count="2853" uniqueCount="936">
  <si>
    <t>маскировка</t>
  </si>
  <si>
    <t>защита</t>
  </si>
  <si>
    <t>конт</t>
  </si>
  <si>
    <t>отр</t>
  </si>
  <si>
    <t>шок</t>
  </si>
  <si>
    <t>кр.укл</t>
  </si>
  <si>
    <t>кр.защ</t>
  </si>
  <si>
    <t>конт.</t>
  </si>
  <si>
    <t>отр.</t>
  </si>
  <si>
    <t>казак-4</t>
  </si>
  <si>
    <t>Урон штурмовых винтовок</t>
  </si>
  <si>
    <t>Од на выстрел пулеметов</t>
  </si>
  <si>
    <t>Урон пулеметов</t>
  </si>
  <si>
    <t>штурм</t>
  </si>
  <si>
    <t>скат</t>
  </si>
  <si>
    <t>Aar/2 VEGA</t>
  </si>
  <si>
    <t>Devastator</t>
  </si>
  <si>
    <t>Гром</t>
  </si>
  <si>
    <t>Тайфун</t>
  </si>
  <si>
    <t>Kronos</t>
  </si>
  <si>
    <t>Тактическая броня</t>
  </si>
  <si>
    <t>СК-М</t>
  </si>
  <si>
    <t>СК-С</t>
  </si>
  <si>
    <t>КМ-17 Сокол</t>
  </si>
  <si>
    <t>Тантал</t>
  </si>
  <si>
    <t>Tiger</t>
  </si>
  <si>
    <t>Циклоп</t>
  </si>
  <si>
    <t>Смерч</t>
  </si>
  <si>
    <t>Hyperion</t>
  </si>
  <si>
    <t>Урон снайперских винтовок</t>
  </si>
  <si>
    <t>Урон пистолетов и п/пулиметов</t>
  </si>
  <si>
    <t>ОД</t>
  </si>
  <si>
    <t>ОД на экипировку СВ</t>
  </si>
  <si>
    <t>Од на установку мин</t>
  </si>
  <si>
    <t>Урон мин</t>
  </si>
  <si>
    <t>Урон гранат</t>
  </si>
  <si>
    <t>Ударная броня</t>
  </si>
  <si>
    <t>Бастион</t>
  </si>
  <si>
    <t>Ogre</t>
  </si>
  <si>
    <t>Castle Rock</t>
  </si>
  <si>
    <t>Скорпион</t>
  </si>
  <si>
    <t>HORT</t>
  </si>
  <si>
    <t>Голиаф</t>
  </si>
  <si>
    <t>Ураган</t>
  </si>
  <si>
    <t>Leviathan</t>
  </si>
  <si>
    <t>Рикошет</t>
  </si>
  <si>
    <t>Время прицеливания СВ</t>
  </si>
  <si>
    <t>Урон дробовиков</t>
  </si>
  <si>
    <t>Мобильность щитов</t>
  </si>
  <si>
    <t>ОД на экипировку щитов</t>
  </si>
  <si>
    <t>снижение урона</t>
  </si>
  <si>
    <t>Пистолеты</t>
  </si>
  <si>
    <t>ПМ</t>
  </si>
  <si>
    <t>урон</t>
  </si>
  <si>
    <t>ТТ</t>
  </si>
  <si>
    <t>Glock 17</t>
  </si>
  <si>
    <t>Steyr M-A1</t>
  </si>
  <si>
    <t>FN Browning BDM</t>
  </si>
  <si>
    <t>СР-1 Вектор</t>
  </si>
  <si>
    <t>HK UCP</t>
  </si>
  <si>
    <t>Five-seveN</t>
  </si>
  <si>
    <t>BDP x6</t>
  </si>
  <si>
    <t>Sting</t>
  </si>
  <si>
    <t>Thorn</t>
  </si>
  <si>
    <t>D-87</t>
  </si>
  <si>
    <t>Броня</t>
  </si>
  <si>
    <t>Пистолеты-пулиметы</t>
  </si>
  <si>
    <t>оружие</t>
  </si>
  <si>
    <t>Кр.урон</t>
  </si>
  <si>
    <t>Точность</t>
  </si>
  <si>
    <t>Дальность</t>
  </si>
  <si>
    <t>Урон</t>
  </si>
  <si>
    <t>UZI</t>
  </si>
  <si>
    <t>Scorpion-61</t>
  </si>
  <si>
    <t>ПП-9 Клин</t>
  </si>
  <si>
    <t>HK MP-5</t>
  </si>
  <si>
    <t>Steyr TMP</t>
  </si>
  <si>
    <t>П-19 Бизон</t>
  </si>
  <si>
    <t>HK UMP-9</t>
  </si>
  <si>
    <t>ПП-2000</t>
  </si>
  <si>
    <t>АЕК-919К Каштан</t>
  </si>
  <si>
    <t>HK MP-7</t>
  </si>
  <si>
    <t>P90</t>
  </si>
  <si>
    <t xml:space="preserve">BDP 13 </t>
  </si>
  <si>
    <t>Wasp</t>
  </si>
  <si>
    <t>Hornet</t>
  </si>
  <si>
    <t>Столбец1</t>
  </si>
  <si>
    <t>разброс</t>
  </si>
  <si>
    <t>Beretta 92</t>
  </si>
  <si>
    <t>Столбец2</t>
  </si>
  <si>
    <t>Столбец3</t>
  </si>
  <si>
    <t>урон мин.</t>
  </si>
  <si>
    <t>урон макс.</t>
  </si>
  <si>
    <t>крит поп.</t>
  </si>
  <si>
    <t>кр.урон</t>
  </si>
  <si>
    <t>точность1</t>
  </si>
  <si>
    <t>точность2</t>
  </si>
  <si>
    <t>дальн.мин.1</t>
  </si>
  <si>
    <t>дальн.мин.2</t>
  </si>
  <si>
    <t>дальн.мин.3</t>
  </si>
  <si>
    <t>дальн.макс1</t>
  </si>
  <si>
    <t>дальн.макс2</t>
  </si>
  <si>
    <t>крит урон</t>
  </si>
  <si>
    <t>точность</t>
  </si>
  <si>
    <t>крит.попадание</t>
  </si>
  <si>
    <t>СВ винтовки</t>
  </si>
  <si>
    <t>ШВ винтовки</t>
  </si>
  <si>
    <t>пулиметы</t>
  </si>
  <si>
    <t>дробовики</t>
  </si>
  <si>
    <t>мобильность</t>
  </si>
  <si>
    <t>крит.урон</t>
  </si>
  <si>
    <t>дальность</t>
  </si>
  <si>
    <t xml:space="preserve">мины </t>
  </si>
  <si>
    <t>гранаты</t>
  </si>
  <si>
    <t>урон гранат</t>
  </si>
  <si>
    <t>эф.боеприпасов</t>
  </si>
  <si>
    <t>броня</t>
  </si>
  <si>
    <t>использов.брони</t>
  </si>
  <si>
    <t>сопротив.эффект.</t>
  </si>
  <si>
    <t>крит.защита</t>
  </si>
  <si>
    <t>крит.уклонение</t>
  </si>
  <si>
    <t>Тактическая</t>
  </si>
  <si>
    <t>Штурм.броня</t>
  </si>
  <si>
    <t>щиты</t>
  </si>
  <si>
    <t>броня щита</t>
  </si>
  <si>
    <t>сопр. Эффект.</t>
  </si>
  <si>
    <t>медецина</t>
  </si>
  <si>
    <t>спринтер</t>
  </si>
  <si>
    <t>од</t>
  </si>
  <si>
    <t>первая помощь</t>
  </si>
  <si>
    <t>эфф.апт.</t>
  </si>
  <si>
    <t>допинг</t>
  </si>
  <si>
    <t>интоксикация</t>
  </si>
  <si>
    <t>здоровье</t>
  </si>
  <si>
    <t>метоболизм</t>
  </si>
  <si>
    <t>регенерация</t>
  </si>
  <si>
    <t>восст.эффект.</t>
  </si>
  <si>
    <t>лечение</t>
  </si>
  <si>
    <t>сталкер</t>
  </si>
  <si>
    <t>следопыт</t>
  </si>
  <si>
    <t>скаут</t>
  </si>
  <si>
    <t>поток. Компресс.</t>
  </si>
  <si>
    <t>калибровка</t>
  </si>
  <si>
    <t>чувствительность</t>
  </si>
  <si>
    <t>радиус</t>
  </si>
  <si>
    <t>Характеристики</t>
  </si>
  <si>
    <t>Сила</t>
  </si>
  <si>
    <t>Ловкость</t>
  </si>
  <si>
    <t>Восприятие</t>
  </si>
  <si>
    <t>Интелект</t>
  </si>
  <si>
    <t>Телосложение</t>
  </si>
  <si>
    <t>Сила воли</t>
  </si>
  <si>
    <t>тренинги</t>
  </si>
  <si>
    <t>опыт</t>
  </si>
  <si>
    <t>уровень</t>
  </si>
  <si>
    <t>турист</t>
  </si>
  <si>
    <t>грузоподъемность</t>
  </si>
  <si>
    <t>скиталец</t>
  </si>
  <si>
    <t>найти лут</t>
  </si>
  <si>
    <t>выйти из боя</t>
  </si>
  <si>
    <t>ксенофизиология</t>
  </si>
  <si>
    <t>Производство</t>
  </si>
  <si>
    <t>Переработка</t>
  </si>
  <si>
    <t>Эфф.производства</t>
  </si>
  <si>
    <t>Интендант</t>
  </si>
  <si>
    <t>торговец</t>
  </si>
  <si>
    <t>лидер</t>
  </si>
  <si>
    <t>стрелок</t>
  </si>
  <si>
    <t>защитник</t>
  </si>
  <si>
    <t>охотник</t>
  </si>
  <si>
    <t>скорость</t>
  </si>
  <si>
    <t>урон по монстрам</t>
  </si>
  <si>
    <t>ТОЗ-194</t>
  </si>
  <si>
    <t>Remingron 870</t>
  </si>
  <si>
    <t>Сайга 12К</t>
  </si>
  <si>
    <t>РМБ-93</t>
  </si>
  <si>
    <t>Benelli M2</t>
  </si>
  <si>
    <t>SPAS-12</t>
  </si>
  <si>
    <t>Neostead</t>
  </si>
  <si>
    <t>SPAS-15</t>
  </si>
  <si>
    <t>HK CAWS</t>
  </si>
  <si>
    <t>Jackhammer</t>
  </si>
  <si>
    <t>Voidscream</t>
  </si>
  <si>
    <t>Штурмовые винтовки</t>
  </si>
  <si>
    <t>Galil AR</t>
  </si>
  <si>
    <t>AK-47</t>
  </si>
  <si>
    <t>M16</t>
  </si>
  <si>
    <t>Beretta ARX-160</t>
  </si>
  <si>
    <t>L85</t>
  </si>
  <si>
    <t>AK-74M</t>
  </si>
  <si>
    <t>HK G3</t>
  </si>
  <si>
    <t>ОЦ-14 Гроза</t>
  </si>
  <si>
    <t>Steyr AUG</t>
  </si>
  <si>
    <t>G36C</t>
  </si>
  <si>
    <t>SIG516</t>
  </si>
  <si>
    <t>FN SCAR</t>
  </si>
  <si>
    <t>HK 416</t>
  </si>
  <si>
    <t>Tavor TAR-21</t>
  </si>
  <si>
    <t>AH-94 Абакан</t>
  </si>
  <si>
    <t>АС Вал</t>
  </si>
  <si>
    <t>АЕК-973</t>
  </si>
  <si>
    <t>АК-9</t>
  </si>
  <si>
    <t>FN F2000</t>
  </si>
  <si>
    <t>DXT-5</t>
  </si>
  <si>
    <t>Fury</t>
  </si>
  <si>
    <t>Rage</t>
  </si>
  <si>
    <t>РПК</t>
  </si>
  <si>
    <t>Тип 67</t>
  </si>
  <si>
    <t>М60</t>
  </si>
  <si>
    <t>М249 SAW</t>
  </si>
  <si>
    <t>M240</t>
  </si>
  <si>
    <t>HK MG4</t>
  </si>
  <si>
    <t>Mk48</t>
  </si>
  <si>
    <t>ПКП Печенег</t>
  </si>
  <si>
    <t>ПКМ</t>
  </si>
  <si>
    <t>Утес М</t>
  </si>
  <si>
    <t>Hellstorm</t>
  </si>
  <si>
    <t>Снайперские винтовки</t>
  </si>
  <si>
    <t>Remington M40</t>
  </si>
  <si>
    <t>SSG 3000</t>
  </si>
  <si>
    <t>СВД</t>
  </si>
  <si>
    <t>ОЦ-48к</t>
  </si>
  <si>
    <t>HK PSG1</t>
  </si>
  <si>
    <t>Barrett 98B</t>
  </si>
  <si>
    <t>СВДК</t>
  </si>
  <si>
    <t>AW SM</t>
  </si>
  <si>
    <t>Kel-Tec RFB</t>
  </si>
  <si>
    <t>RPA Rangemaster</t>
  </si>
  <si>
    <t>ВСС Винторез</t>
  </si>
  <si>
    <t>DT SRS</t>
  </si>
  <si>
    <t>OCB-96</t>
  </si>
  <si>
    <t>OM 50 Nemesis</t>
  </si>
  <si>
    <t>Barrett M82</t>
  </si>
  <si>
    <t>DSR 50</t>
  </si>
  <si>
    <t>Выхлоп</t>
  </si>
  <si>
    <t>ТАС-50</t>
  </si>
  <si>
    <t>AS 50</t>
  </si>
  <si>
    <t>TTL mk3</t>
  </si>
  <si>
    <t>Stormbolt</t>
  </si>
  <si>
    <t>Whisper</t>
  </si>
  <si>
    <t>Медицина</t>
  </si>
  <si>
    <t>Сталкер</t>
  </si>
  <si>
    <t>Лидер</t>
  </si>
  <si>
    <t>Свободно опыта</t>
  </si>
  <si>
    <t>Всего опыта</t>
  </si>
  <si>
    <t>Оружие</t>
  </si>
  <si>
    <t>Критический урон</t>
  </si>
  <si>
    <t>Критическое попадание</t>
  </si>
  <si>
    <t>Дробовики</t>
  </si>
  <si>
    <t xml:space="preserve">Мины </t>
  </si>
  <si>
    <t>Гранаты</t>
  </si>
  <si>
    <t>Эффективность боеприпасов</t>
  </si>
  <si>
    <t>Использование брони</t>
  </si>
  <si>
    <t>Защита</t>
  </si>
  <si>
    <t>Критическая защита</t>
  </si>
  <si>
    <t>Маскировка</t>
  </si>
  <si>
    <t>Критическое уклонение</t>
  </si>
  <si>
    <t>Штурмовая броня</t>
  </si>
  <si>
    <t>Щиты</t>
  </si>
  <si>
    <t>Сопротивление эффектов</t>
  </si>
  <si>
    <t>Спринтер</t>
  </si>
  <si>
    <t>Первая помощь</t>
  </si>
  <si>
    <t>Допинг</t>
  </si>
  <si>
    <t>Крепкое здоровье</t>
  </si>
  <si>
    <t>Следопыт</t>
  </si>
  <si>
    <t>Скаут</t>
  </si>
  <si>
    <t>Потоковая компрессия</t>
  </si>
  <si>
    <t>Калибровка</t>
  </si>
  <si>
    <t>Турит</t>
  </si>
  <si>
    <t>Скиталец</t>
  </si>
  <si>
    <t>Эффективность производства</t>
  </si>
  <si>
    <t>Торговец</t>
  </si>
  <si>
    <t>Стрелок</t>
  </si>
  <si>
    <t>Защитник</t>
  </si>
  <si>
    <t>Охотник</t>
  </si>
  <si>
    <t>Памятка по опыту</t>
  </si>
  <si>
    <t>Креп.здровье</t>
  </si>
  <si>
    <t>итого:</t>
  </si>
  <si>
    <t>Здоровье</t>
  </si>
  <si>
    <t>Очки действия</t>
  </si>
  <si>
    <t>Мобильность</t>
  </si>
  <si>
    <t>Скорость на карте</t>
  </si>
  <si>
    <t>Шанс атаки монстров</t>
  </si>
  <si>
    <t>Побег из боя</t>
  </si>
  <si>
    <t>обнаружение трофеев</t>
  </si>
  <si>
    <t>эфф. аптечек</t>
  </si>
  <si>
    <t>эфф. боеприпасов</t>
  </si>
  <si>
    <t>потеря трофеев (побег)</t>
  </si>
  <si>
    <t>потеря трофеев (смерть)</t>
  </si>
  <si>
    <t>эфф.стимуляторов</t>
  </si>
  <si>
    <t>интоксикация персонажа</t>
  </si>
  <si>
    <t>скорость сканирования</t>
  </si>
  <si>
    <t>объем хранилища</t>
  </si>
  <si>
    <t>контракты</t>
  </si>
  <si>
    <t>Контузия</t>
  </si>
  <si>
    <t>Отравление</t>
  </si>
  <si>
    <t>Шок</t>
  </si>
  <si>
    <t>Снижение урона</t>
  </si>
  <si>
    <t>Персонажи</t>
  </si>
  <si>
    <t>Крит. защита</t>
  </si>
  <si>
    <t>Крит.урон</t>
  </si>
  <si>
    <t>Монстры</t>
  </si>
  <si>
    <t>Z-8 Спекрт</t>
  </si>
  <si>
    <t>FX4600 Гарпия</t>
  </si>
  <si>
    <t>JNP2 Needle</t>
  </si>
  <si>
    <t>PQ-17 Шквал</t>
  </si>
  <si>
    <t>АМ-14 Мгла</t>
  </si>
  <si>
    <t>DS-1 Desert Shark</t>
  </si>
  <si>
    <t>Л</t>
  </si>
  <si>
    <t>И</t>
  </si>
  <si>
    <t>В</t>
  </si>
  <si>
    <t>С</t>
  </si>
  <si>
    <t>Т</t>
  </si>
  <si>
    <t>СВ</t>
  </si>
  <si>
    <t>средний урон</t>
  </si>
  <si>
    <t>LCS-450 Dracula</t>
  </si>
  <si>
    <t>NS-1 Каратель</t>
  </si>
  <si>
    <t>H-900 Black Hawk</t>
  </si>
  <si>
    <t>SH-188 Потрошитель</t>
  </si>
  <si>
    <t>Ксенофизиология</t>
  </si>
  <si>
    <t>крит попадание</t>
  </si>
  <si>
    <t>шок.</t>
  </si>
  <si>
    <t>кр.укл.</t>
  </si>
  <si>
    <t>кр.защ.</t>
  </si>
  <si>
    <t>название</t>
  </si>
  <si>
    <t>5</t>
  </si>
  <si>
    <t>сопротивление эфф.</t>
  </si>
  <si>
    <t>эффбоерипасов</t>
  </si>
  <si>
    <t>Феникс</t>
  </si>
  <si>
    <t>феникс</t>
  </si>
  <si>
    <t>снижениеурона</t>
  </si>
  <si>
    <t>Токсичность</t>
  </si>
  <si>
    <t>эфф. Аптечек</t>
  </si>
  <si>
    <t>токсичность</t>
  </si>
  <si>
    <t>Наносимый урон</t>
  </si>
  <si>
    <t>Ваш персонаж</t>
  </si>
  <si>
    <t>Противник</t>
  </si>
  <si>
    <t>бонус мод</t>
  </si>
  <si>
    <t>бонус модификаций</t>
  </si>
  <si>
    <t>защита1</t>
  </si>
  <si>
    <t>защита2</t>
  </si>
  <si>
    <t>маскировка1</t>
  </si>
  <si>
    <t>маскирвка2</t>
  </si>
  <si>
    <t>бонус мод2</t>
  </si>
  <si>
    <t>бонус мод3</t>
  </si>
  <si>
    <t>крит уклон</t>
  </si>
  <si>
    <t>крит уклон2</t>
  </si>
  <si>
    <t>бонус мод4</t>
  </si>
  <si>
    <t>бонус мод5</t>
  </si>
  <si>
    <t>крит защ</t>
  </si>
  <si>
    <t>сниж урон</t>
  </si>
  <si>
    <t>эфф апт</t>
  </si>
  <si>
    <t>эфф.апт</t>
  </si>
  <si>
    <t>Сниж. урон</t>
  </si>
  <si>
    <t>Ваш персонаж кол-во пуль</t>
  </si>
  <si>
    <t>Противник кол-во пуль</t>
  </si>
  <si>
    <t>Стимуляторы</t>
  </si>
  <si>
    <t>Балистический</t>
  </si>
  <si>
    <t>Панцирь</t>
  </si>
  <si>
    <t>Редут</t>
  </si>
  <si>
    <t>Бункер</t>
  </si>
  <si>
    <t>Хищник</t>
  </si>
  <si>
    <t>Монолит</t>
  </si>
  <si>
    <t>Aegis</t>
  </si>
  <si>
    <t>Адреналин</t>
  </si>
  <si>
    <t>Гемобуфер Альфа</t>
  </si>
  <si>
    <t>Моториум Альфа</t>
  </si>
  <si>
    <t>Репульсин Альфа</t>
  </si>
  <si>
    <t>Гемобуфер Альфа М</t>
  </si>
  <si>
    <t>Моториум Альфа М</t>
  </si>
  <si>
    <t>Репульсин Альфа М</t>
  </si>
  <si>
    <t>Название</t>
  </si>
  <si>
    <t>крит. Защита</t>
  </si>
  <si>
    <t>Перцептил альфа</t>
  </si>
  <si>
    <t>Фервопост альфа</t>
  </si>
  <si>
    <t>Крит. попадание</t>
  </si>
  <si>
    <t>Пулеметы</t>
  </si>
  <si>
    <t>Метаболизм</t>
  </si>
  <si>
    <t>Использовано опыта</t>
  </si>
  <si>
    <t>Интеллект</t>
  </si>
  <si>
    <t>Крит. уклонение</t>
  </si>
  <si>
    <t>Регенерация</t>
  </si>
  <si>
    <t>крит.уклонение2</t>
  </si>
  <si>
    <t>Фервопост бетта</t>
  </si>
  <si>
    <t>Перцептил альфа М</t>
  </si>
  <si>
    <t>Фервопост альфа М</t>
  </si>
  <si>
    <t>Фервопост бетта М</t>
  </si>
  <si>
    <t>Гемобуфер бетта М</t>
  </si>
  <si>
    <t>Гемобуфер Бета</t>
  </si>
  <si>
    <t>Фервепост бета М</t>
  </si>
  <si>
    <t>Гемобуфер Бета М</t>
  </si>
  <si>
    <t>Полученный урон</t>
  </si>
  <si>
    <t>Фервепост бета</t>
  </si>
  <si>
    <t>Урон ШВ</t>
  </si>
  <si>
    <t>Точность ШВ</t>
  </si>
  <si>
    <t>Крит урон ШВ</t>
  </si>
  <si>
    <t xml:space="preserve">Штурмовые винтовки </t>
  </si>
  <si>
    <t>Импланты</t>
  </si>
  <si>
    <t>Тренинги</t>
  </si>
  <si>
    <t>Крит.защита</t>
  </si>
  <si>
    <t>Крит.уклонение</t>
  </si>
  <si>
    <t>Сопрот.эфф.</t>
  </si>
  <si>
    <t>импланты броня</t>
  </si>
  <si>
    <t>Медик</t>
  </si>
  <si>
    <t>Истребитель Монстр.</t>
  </si>
  <si>
    <t>Срелок</t>
  </si>
  <si>
    <t>Разрушитель</t>
  </si>
  <si>
    <t>Турбо</t>
  </si>
  <si>
    <t>Сапер</t>
  </si>
  <si>
    <t>Счастливчик</t>
  </si>
  <si>
    <t>Огненый шторм</t>
  </si>
  <si>
    <t>Гвардеец</t>
  </si>
  <si>
    <t>Универсальный Солдат</t>
  </si>
  <si>
    <t>Разветчик</t>
  </si>
  <si>
    <t>Ветеран</t>
  </si>
  <si>
    <t>Дальнобойщик</t>
  </si>
  <si>
    <t>Странник</t>
  </si>
  <si>
    <t>Скорость по карте</t>
  </si>
  <si>
    <t>Грузоподъемность</t>
  </si>
  <si>
    <t>медик</t>
  </si>
  <si>
    <t>эффективность аптечек</t>
  </si>
  <si>
    <t>урон по мобам</t>
  </si>
  <si>
    <t>Урон П П/П</t>
  </si>
  <si>
    <t>Сопрт.эфф</t>
  </si>
  <si>
    <t>Дальность броска</t>
  </si>
  <si>
    <t>Радиус взрыва</t>
  </si>
  <si>
    <t>урон мин</t>
  </si>
  <si>
    <t>Гангстер</t>
  </si>
  <si>
    <t>крит множ</t>
  </si>
  <si>
    <t>Урон СВ</t>
  </si>
  <si>
    <t>Огненный шторм</t>
  </si>
  <si>
    <t>Репульсин бета</t>
  </si>
  <si>
    <t>Урон пулеметы</t>
  </si>
  <si>
    <t>Критурон пулеметы</t>
  </si>
  <si>
    <t>Дальность дробовиков</t>
  </si>
  <si>
    <t>Точность дробовиков</t>
  </si>
  <si>
    <t>Крит. Уклонение</t>
  </si>
  <si>
    <t>Турист</t>
  </si>
  <si>
    <t>Сктиталец</t>
  </si>
  <si>
    <t xml:space="preserve">интелект </t>
  </si>
  <si>
    <t>Крит попадание</t>
  </si>
  <si>
    <t>Эфф.переработки</t>
  </si>
  <si>
    <t>Время производства</t>
  </si>
  <si>
    <t>Эфф. Производство</t>
  </si>
  <si>
    <t>Перерасход компонентов</t>
  </si>
  <si>
    <t>Объем хранилища</t>
  </si>
  <si>
    <t>Кол-во контрактов</t>
  </si>
  <si>
    <t>Урон штурмовые винтовки</t>
  </si>
  <si>
    <t>Дальность броска гранат</t>
  </si>
  <si>
    <t>ОД на выстрел СВ</t>
  </si>
  <si>
    <t>ОД на установку мин</t>
  </si>
  <si>
    <t>Ударная броня СЕТ бонусы</t>
  </si>
  <si>
    <t>Од на экипировку щитов</t>
  </si>
  <si>
    <t>Селиритан Альфа</t>
  </si>
  <si>
    <t>Селиритан бета</t>
  </si>
  <si>
    <t>Селиритан Альфа М</t>
  </si>
  <si>
    <t>Селиритан Бета М</t>
  </si>
  <si>
    <t>Навыки</t>
  </si>
  <si>
    <t>Бонусы уникальных предметов</t>
  </si>
  <si>
    <t>Бонусы сетов</t>
  </si>
  <si>
    <t>Ачивки</t>
  </si>
  <si>
    <t>Цепочки</t>
  </si>
  <si>
    <t>Зеленый фон не рабочие формулы</t>
  </si>
  <si>
    <t>дальн.макс3</t>
  </si>
  <si>
    <t>навыки оружия</t>
  </si>
  <si>
    <t>навыки дробовики</t>
  </si>
  <si>
    <t>навыки ШВ</t>
  </si>
  <si>
    <t xml:space="preserve"> Навыки Пулеметы</t>
  </si>
  <si>
    <t>Навыки СВ</t>
  </si>
  <si>
    <t>Патроны</t>
  </si>
  <si>
    <t>Зажигат патроны</t>
  </si>
  <si>
    <t>Хим. Патроны</t>
  </si>
  <si>
    <t>ЭМ патроны</t>
  </si>
  <si>
    <t>FH</t>
  </si>
  <si>
    <t>CH</t>
  </si>
  <si>
    <t>EM</t>
  </si>
  <si>
    <t>KN</t>
  </si>
  <si>
    <t>Сыворотка</t>
  </si>
  <si>
    <t>Моториум альфа</t>
  </si>
  <si>
    <t>Моториум альфа М</t>
  </si>
  <si>
    <t>Моториум бета</t>
  </si>
  <si>
    <t>Моториум бета М</t>
  </si>
  <si>
    <t>Перцептил бета</t>
  </si>
  <si>
    <t>Перцептил бета М</t>
  </si>
  <si>
    <t>Рекуперант альфа</t>
  </si>
  <si>
    <t>Рекуперант альфа М</t>
  </si>
  <si>
    <t>Рекуперант бета</t>
  </si>
  <si>
    <t>Рекуперант бета М</t>
  </si>
  <si>
    <t>Репульсин альфа</t>
  </si>
  <si>
    <t>Репульсин альфа М</t>
  </si>
  <si>
    <t>Репульсин бета М</t>
  </si>
  <si>
    <t>Фервепост альфа</t>
  </si>
  <si>
    <t>Фервепост альфа М</t>
  </si>
  <si>
    <t>скорость по карте</t>
  </si>
  <si>
    <t>сопр эфф</t>
  </si>
  <si>
    <t>всего</t>
  </si>
  <si>
    <t>всего2</t>
  </si>
  <si>
    <t>Крит.защита (устарело)</t>
  </si>
  <si>
    <t>крит уклонение</t>
  </si>
  <si>
    <t>всего3</t>
  </si>
  <si>
    <t>Гемобуфер бета</t>
  </si>
  <si>
    <t>ШВ броня</t>
  </si>
  <si>
    <t>СВ броня</t>
  </si>
  <si>
    <t>Танк Броня</t>
  </si>
  <si>
    <t>Исп. Брони</t>
  </si>
  <si>
    <t>Своего уровня</t>
  </si>
  <si>
    <t>на 1 уровенб выше</t>
  </si>
  <si>
    <t>на 2 уровня выше</t>
  </si>
  <si>
    <t>свой уровень</t>
  </si>
  <si>
    <t>на 1 уровень</t>
  </si>
  <si>
    <t>на 2 уровня</t>
  </si>
  <si>
    <t>считается в планере</t>
  </si>
  <si>
    <t>потеря троф.</t>
  </si>
  <si>
    <t>опыт всего</t>
  </si>
  <si>
    <t xml:space="preserve">опыт </t>
  </si>
  <si>
    <t>Крит. Урон2</t>
  </si>
  <si>
    <t xml:space="preserve">точность </t>
  </si>
  <si>
    <t>крит. Попадание</t>
  </si>
  <si>
    <t>Крит. Поп.</t>
  </si>
  <si>
    <t>Крит. Урон СВ</t>
  </si>
  <si>
    <t>урон пул.</t>
  </si>
  <si>
    <t xml:space="preserve">точность пул. </t>
  </si>
  <si>
    <t>крит.урон пул.</t>
  </si>
  <si>
    <t>дальность2</t>
  </si>
  <si>
    <t>эфф. Боеприпасов</t>
  </si>
  <si>
    <t>ОД на установку</t>
  </si>
  <si>
    <t>Крит. уклоение</t>
  </si>
  <si>
    <t>маскировка2</t>
  </si>
  <si>
    <t xml:space="preserve">сопр. Эфф. </t>
  </si>
  <si>
    <t>ОД на стим</t>
  </si>
  <si>
    <t>Интоксикация</t>
  </si>
  <si>
    <t>эфф .стим.</t>
  </si>
  <si>
    <t>дительность</t>
  </si>
  <si>
    <t>время сканирования</t>
  </si>
  <si>
    <t>всего4</t>
  </si>
  <si>
    <t>крит. Попад.</t>
  </si>
  <si>
    <t xml:space="preserve">всего </t>
  </si>
  <si>
    <t>крит. Урон</t>
  </si>
  <si>
    <t>всего 2</t>
  </si>
  <si>
    <t>сила2</t>
  </si>
  <si>
    <t>всприятие</t>
  </si>
  <si>
    <t>ловкость2</t>
  </si>
  <si>
    <t>интелект2</t>
  </si>
  <si>
    <t>телосложение2</t>
  </si>
  <si>
    <t>сила воли2</t>
  </si>
  <si>
    <t>эфф. Переработки</t>
  </si>
  <si>
    <t>перерас. Комп.</t>
  </si>
  <si>
    <t>объем хранилища2</t>
  </si>
  <si>
    <t>кол-во контрактов</t>
  </si>
  <si>
    <t>скорость производства</t>
  </si>
  <si>
    <t>крит. Поп</t>
  </si>
  <si>
    <t>всего5</t>
  </si>
  <si>
    <t>всего6</t>
  </si>
  <si>
    <t>всего7</t>
  </si>
  <si>
    <t>всего8</t>
  </si>
  <si>
    <t>сопр. Эфф</t>
  </si>
  <si>
    <t>крит. Защ</t>
  </si>
  <si>
    <t>крит. Уклонение</t>
  </si>
  <si>
    <t>крит.поп. Монстры</t>
  </si>
  <si>
    <t>крит.урон по монстрам</t>
  </si>
  <si>
    <t>урон2</t>
  </si>
  <si>
    <t xml:space="preserve">Дальность </t>
  </si>
  <si>
    <t>Выберите броню</t>
  </si>
  <si>
    <t>Дальность снайперских винтовк</t>
  </si>
  <si>
    <t>Входящее лечение</t>
  </si>
  <si>
    <t>Побег из боя за меньшее число раундов</t>
  </si>
  <si>
    <t>Дальность штурмовых винтовок</t>
  </si>
  <si>
    <t>Дальность пулиметов</t>
  </si>
  <si>
    <t>Дальность снайперсих винтовок</t>
  </si>
  <si>
    <t>Время прицеливания штурмовых винтовок</t>
  </si>
  <si>
    <t>Точность снайперских винтовок</t>
  </si>
  <si>
    <t>Скорость перемещения по карте</t>
  </si>
  <si>
    <t>32%</t>
  </si>
  <si>
    <t>18%</t>
  </si>
  <si>
    <t>20%</t>
  </si>
  <si>
    <t>22%</t>
  </si>
  <si>
    <t>24%</t>
  </si>
  <si>
    <t>26%</t>
  </si>
  <si>
    <t>28%</t>
  </si>
  <si>
    <t>30%</t>
  </si>
  <si>
    <t>34%</t>
  </si>
  <si>
    <t>15%</t>
  </si>
  <si>
    <t>25%</t>
  </si>
  <si>
    <t>5%</t>
  </si>
  <si>
    <t>-11%</t>
  </si>
  <si>
    <t>Дальность броска гранат м.</t>
  </si>
  <si>
    <t>8%</t>
  </si>
  <si>
    <t>14%</t>
  </si>
  <si>
    <t>Од на выстрел снайперских винтовок</t>
  </si>
  <si>
    <t>ОД на экипировку снайперских винтовок</t>
  </si>
  <si>
    <t>6%</t>
  </si>
  <si>
    <t>7%</t>
  </si>
  <si>
    <t>3%</t>
  </si>
  <si>
    <t>9%</t>
  </si>
  <si>
    <t>10%</t>
  </si>
  <si>
    <t>11%</t>
  </si>
  <si>
    <t>12%</t>
  </si>
  <si>
    <t>Эффекты комплекта</t>
  </si>
  <si>
    <t>картинки</t>
  </si>
  <si>
    <t>картинка</t>
  </si>
  <si>
    <t>бонус мод6</t>
  </si>
  <si>
    <t>Сниж. урона</t>
  </si>
  <si>
    <t>бонус мод.</t>
  </si>
  <si>
    <t>бонус мод7</t>
  </si>
  <si>
    <t>бонус мод8</t>
  </si>
  <si>
    <t>Выберите оружие</t>
  </si>
  <si>
    <t>Desert Eagle</t>
  </si>
  <si>
    <t>MPP-433 Грач</t>
  </si>
  <si>
    <t xml:space="preserve">дальность </t>
  </si>
  <si>
    <t>крит попадание3</t>
  </si>
  <si>
    <t>точность3</t>
  </si>
  <si>
    <t>бонус мод9</t>
  </si>
  <si>
    <t>бонус мод10</t>
  </si>
  <si>
    <t>иконки</t>
  </si>
  <si>
    <t>Кр.попад.</t>
  </si>
  <si>
    <t>Эфф. Боеприп.</t>
  </si>
  <si>
    <t>РГ-42</t>
  </si>
  <si>
    <t>РГД-5</t>
  </si>
  <si>
    <t>HG-79</t>
  </si>
  <si>
    <t>MB-5</t>
  </si>
  <si>
    <t>Ф-1</t>
  </si>
  <si>
    <t>ANS-1</t>
  </si>
  <si>
    <t>РГМ-20</t>
  </si>
  <si>
    <t>XG-1</t>
  </si>
  <si>
    <t>XG-3</t>
  </si>
  <si>
    <t>XG-7</t>
  </si>
  <si>
    <t>ОЗМ-72</t>
  </si>
  <si>
    <t>МОН-50</t>
  </si>
  <si>
    <t>M-18 ''Claymore''</t>
  </si>
  <si>
    <t>BL-92</t>
  </si>
  <si>
    <t>TM-57</t>
  </si>
  <si>
    <t>RJ-6</t>
  </si>
  <si>
    <t>M-42</t>
  </si>
  <si>
    <t>XM-1</t>
  </si>
  <si>
    <t>XM-3</t>
  </si>
  <si>
    <t>XM-7</t>
  </si>
  <si>
    <t>Выберите гранаты</t>
  </si>
  <si>
    <t>Выберите мины</t>
  </si>
  <si>
    <t>Од на бросок</t>
  </si>
  <si>
    <t>Дальность броска min</t>
  </si>
  <si>
    <t>Дальность броска max</t>
  </si>
  <si>
    <t>урон min</t>
  </si>
  <si>
    <t>урон max</t>
  </si>
  <si>
    <t>контузия</t>
  </si>
  <si>
    <t>отравление</t>
  </si>
  <si>
    <t>радиус срабатывания</t>
  </si>
  <si>
    <t>радиус взрыва</t>
  </si>
  <si>
    <t xml:space="preserve">урон max </t>
  </si>
  <si>
    <t xml:space="preserve"> отравление</t>
  </si>
  <si>
    <t>навык гранаты</t>
  </si>
  <si>
    <t>навык мины</t>
  </si>
  <si>
    <t xml:space="preserve"> отравл.</t>
  </si>
  <si>
    <t>отравл.</t>
  </si>
  <si>
    <t>Выберите щит</t>
  </si>
  <si>
    <t>крит щащита</t>
  </si>
  <si>
    <t>рикошет</t>
  </si>
  <si>
    <t>защита3</t>
  </si>
  <si>
    <t>снижение урона4</t>
  </si>
  <si>
    <t>Параметры сета</t>
  </si>
  <si>
    <t>бонус мод11</t>
  </si>
  <si>
    <t>бонус мод12</t>
  </si>
  <si>
    <t>бонус мод13</t>
  </si>
  <si>
    <t>название бонуса</t>
  </si>
  <si>
    <t>название бонуса2</t>
  </si>
  <si>
    <t>название бонуса3</t>
  </si>
  <si>
    <t>название бонуса4</t>
  </si>
  <si>
    <t>название бонуса5</t>
  </si>
  <si>
    <t>название бонуса6</t>
  </si>
  <si>
    <t>название бонуса7</t>
  </si>
  <si>
    <t>название бонуса8</t>
  </si>
  <si>
    <t>название бонуса9</t>
  </si>
  <si>
    <t>название бонуса10</t>
  </si>
  <si>
    <t>эффект</t>
  </si>
  <si>
    <t>эффект2</t>
  </si>
  <si>
    <t>эффект3</t>
  </si>
  <si>
    <t>эффект4</t>
  </si>
  <si>
    <t>эффект5</t>
  </si>
  <si>
    <t>эффект6</t>
  </si>
  <si>
    <t>эффект7</t>
  </si>
  <si>
    <t>эффект8</t>
  </si>
  <si>
    <t>эффект9</t>
  </si>
  <si>
    <t>эффект10</t>
  </si>
  <si>
    <t>Необходимые навыки</t>
  </si>
  <si>
    <t>бонус мод14</t>
  </si>
  <si>
    <t>навык оружие</t>
  </si>
  <si>
    <t>Истребитель собак</t>
  </si>
  <si>
    <t>Урон при атаке монстров</t>
  </si>
  <si>
    <t>Теплый прием</t>
  </si>
  <si>
    <t>Кровавая жатва</t>
  </si>
  <si>
    <t>Истребитель цистоподов</t>
  </si>
  <si>
    <t>Истребитель мух</t>
  </si>
  <si>
    <t>Истребитель стингеров</t>
  </si>
  <si>
    <t>Истребитель дентикулятов</t>
  </si>
  <si>
    <t>Истребитель спитацидов</t>
  </si>
  <si>
    <t>Истребитель тренсгенантов</t>
  </si>
  <si>
    <t>Истребитель мегацифалов</t>
  </si>
  <si>
    <t>Истребитель силикридов</t>
  </si>
  <si>
    <t>Истребитель сектоидов</t>
  </si>
  <si>
    <t>Истребитель риктоподов</t>
  </si>
  <si>
    <t>Истребитель некрофагов</t>
  </si>
  <si>
    <t>Истребитель гвардианов</t>
  </si>
  <si>
    <t>Истребитель энфорсеров</t>
  </si>
  <si>
    <t>Истребитель зараженных солдат</t>
  </si>
  <si>
    <t>Истребитель зараженных штурмовиков</t>
  </si>
  <si>
    <t>Истребитель энгрейверов</t>
  </si>
  <si>
    <t>Истребитель иксморфов</t>
  </si>
  <si>
    <t>Радиус взрыва мин и гранат</t>
  </si>
  <si>
    <t>Мясоруб</t>
  </si>
  <si>
    <t>Помощник мясоруба</t>
  </si>
  <si>
    <t>Эффективность аптечек</t>
  </si>
  <si>
    <t>Двух зайцев одним вытрелом</t>
  </si>
  <si>
    <t>Бадабум</t>
  </si>
  <si>
    <t>Стимул к жизни</t>
  </si>
  <si>
    <t>Интоксикация персонажа</t>
  </si>
  <si>
    <t>Зависемость</t>
  </si>
  <si>
    <t>Однорукий</t>
  </si>
  <si>
    <t>Больше свинца</t>
  </si>
  <si>
    <t>Свинцовый дождь</t>
  </si>
  <si>
    <t>Крупный калибр</t>
  </si>
  <si>
    <t>Урон мин и гранат</t>
  </si>
  <si>
    <t>Подрывник</t>
  </si>
  <si>
    <t>Последний патрон</t>
  </si>
  <si>
    <t>Нокаут</t>
  </si>
  <si>
    <t>Свинцовый ливень</t>
  </si>
  <si>
    <t>Сопротивление эффектам</t>
  </si>
  <si>
    <t>Живчик</t>
  </si>
  <si>
    <t>Неуязвимый</t>
  </si>
  <si>
    <t>Доктор</t>
  </si>
  <si>
    <t>Мертвец</t>
  </si>
  <si>
    <t>Реконструктор</t>
  </si>
  <si>
    <t>Арестант</t>
  </si>
  <si>
    <t>За ВДВ</t>
  </si>
  <si>
    <t>Марс атакует</t>
  </si>
  <si>
    <t>Свой среди чужих</t>
  </si>
  <si>
    <t>Ксеноцид</t>
  </si>
  <si>
    <t>Эффективность стимуляторов</t>
  </si>
  <si>
    <t>Нет повода не выпить</t>
  </si>
  <si>
    <t>Голод не тетка</t>
  </si>
  <si>
    <t>Гренадер</t>
  </si>
  <si>
    <t>Сел на пенек</t>
  </si>
  <si>
    <t>Железный капут</t>
  </si>
  <si>
    <t>Новогоднее настроение</t>
  </si>
  <si>
    <t>Инквизитор</t>
  </si>
  <si>
    <t>Полный чок</t>
  </si>
  <si>
    <t>Один выстрел - один труп</t>
  </si>
  <si>
    <t>Из последних сил</t>
  </si>
  <si>
    <t>Урон при атаке моснтров</t>
  </si>
  <si>
    <t>сниж. Урона</t>
  </si>
  <si>
    <t>урон мин гранат</t>
  </si>
  <si>
    <t>снижения урона</t>
  </si>
  <si>
    <t xml:space="preserve"> крит.попадания</t>
  </si>
  <si>
    <t xml:space="preserve"> защита</t>
  </si>
  <si>
    <t>Радиус взрыва мин гранат</t>
  </si>
  <si>
    <t>критическое поп.</t>
  </si>
  <si>
    <t>сопротивление эффектам</t>
  </si>
  <si>
    <t>эфф. Стимуляторов</t>
  </si>
  <si>
    <t>эффективность стимуляторов</t>
  </si>
  <si>
    <t>Одекалон</t>
  </si>
  <si>
    <t>Сосулька</t>
  </si>
  <si>
    <t>Ксенорекуперант</t>
  </si>
  <si>
    <t>регенирация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</si>
  <si>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</si>
  <si>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</si>
  <si>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</si>
  <si>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</si>
  <si>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</si>
  <si>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</si>
  <si>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</si>
  <si>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</si>
  <si>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</si>
  <si>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</si>
  <si>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Столбец14</t>
  </si>
  <si>
    <t>Выберите стимулятор</t>
  </si>
  <si>
    <t>Сопр. эфф.</t>
  </si>
  <si>
    <t xml:space="preserve">Крит. поп. </t>
  </si>
  <si>
    <t>сниж. урона</t>
  </si>
  <si>
    <t>Эфф.боепр.</t>
  </si>
  <si>
    <t>Вост. эфф.</t>
  </si>
  <si>
    <t/>
  </si>
  <si>
    <t>Стимуляторы специальные</t>
  </si>
  <si>
    <t>Регенирация</t>
  </si>
  <si>
    <t>Востановление эфф.</t>
  </si>
  <si>
    <t>базовое значение</t>
  </si>
  <si>
    <t>Кол-во</t>
  </si>
  <si>
    <t>Гемобуфер бета М</t>
  </si>
  <si>
    <t>Столбец15</t>
  </si>
  <si>
    <t>Столбец16</t>
  </si>
  <si>
    <t>Столбец17</t>
  </si>
  <si>
    <t>Столбец18</t>
  </si>
  <si>
    <t>Столбец19</t>
  </si>
  <si>
    <t>Столбец20</t>
  </si>
  <si>
    <t>Столбец21</t>
  </si>
  <si>
    <t>Столбец22</t>
  </si>
  <si>
    <t>Столбец23</t>
  </si>
  <si>
    <t>Кол-во2</t>
  </si>
  <si>
    <t>Расчет стимуляторов</t>
  </si>
  <si>
    <t>Кол-во4</t>
  </si>
  <si>
    <t>Столбец24</t>
  </si>
  <si>
    <t>Столбец25</t>
  </si>
  <si>
    <t>Столбец26</t>
  </si>
  <si>
    <t>Столбец27</t>
  </si>
  <si>
    <t>Столбец28</t>
  </si>
  <si>
    <t>Столбец29</t>
  </si>
  <si>
    <t>Столбец30</t>
  </si>
  <si>
    <t>Столбец31</t>
  </si>
  <si>
    <t>Столбец32</t>
  </si>
  <si>
    <t>Столбец33</t>
  </si>
  <si>
    <t>Столбец34</t>
  </si>
  <si>
    <t>Всего</t>
  </si>
  <si>
    <t>Cнижение урона</t>
  </si>
  <si>
    <t>Слот А</t>
  </si>
  <si>
    <t>Слот B</t>
  </si>
  <si>
    <t>Слот C</t>
  </si>
  <si>
    <t>Слот D</t>
  </si>
  <si>
    <t>Слот E</t>
  </si>
  <si>
    <t>Слот F</t>
  </si>
  <si>
    <t>Эфф. Боеприпасов</t>
  </si>
  <si>
    <t>Крит. Попадание</t>
  </si>
  <si>
    <t>Крит. Урон</t>
  </si>
  <si>
    <t>Эфф. Аптечек</t>
  </si>
  <si>
    <t>Эфф. Стимуляторов</t>
  </si>
  <si>
    <t>Центурион</t>
  </si>
  <si>
    <t>Легионер</t>
  </si>
  <si>
    <t>Палач</t>
  </si>
  <si>
    <t>Колос</t>
  </si>
  <si>
    <t>Коммандос</t>
  </si>
  <si>
    <t>Крит.Урон</t>
  </si>
  <si>
    <t>Точность П П/П</t>
  </si>
  <si>
    <t>Крит.попадание П П/П</t>
  </si>
  <si>
    <t>Крит.урон П П/П</t>
  </si>
  <si>
    <t>ОД на выстрел П П/П</t>
  </si>
  <si>
    <t>Потеря трофеев после смерти</t>
  </si>
  <si>
    <t>Длительность действия стимуляторов</t>
  </si>
  <si>
    <t>Истребитель мостров</t>
  </si>
  <si>
    <t>Урон при атаке мостров</t>
  </si>
  <si>
    <t>Колосс</t>
  </si>
  <si>
    <t>Маскировка тактической брони</t>
  </si>
  <si>
    <t>Защита тактической брони</t>
  </si>
  <si>
    <t>Критическое уклонение штурмовой брони</t>
  </si>
  <si>
    <t>Критический урон штурмовых винтовок</t>
  </si>
  <si>
    <t>Критическая защита штурмовой брони</t>
  </si>
  <si>
    <t>Защита штурмовой брони</t>
  </si>
  <si>
    <t>ОД на использование аптечек</t>
  </si>
  <si>
    <t>Критическое попадание при атаке моснтров</t>
  </si>
  <si>
    <t>Критический урон при атаке монстров</t>
  </si>
  <si>
    <t>Шанс получить боевой дух</t>
  </si>
  <si>
    <t>Критический урон пулиметов</t>
  </si>
  <si>
    <t>ОД на выстрел пулиметов</t>
  </si>
  <si>
    <t>Урон пулиметов</t>
  </si>
  <si>
    <t>Разведчик</t>
  </si>
  <si>
    <t>Радиус излучаемых помех</t>
  </si>
  <si>
    <t>Чувствительность сенсоров</t>
  </si>
  <si>
    <t>Время сканирования</t>
  </si>
  <si>
    <t>Награда аномалий любого типа</t>
  </si>
  <si>
    <t>Потеря трофеев при побеге из боя</t>
  </si>
  <si>
    <t>Шанс случайной встречи</t>
  </si>
  <si>
    <t>ОД на перезарядку оружия</t>
  </si>
  <si>
    <t>Критическое попадание П П/П</t>
  </si>
  <si>
    <t>Дальность П П/П</t>
  </si>
  <si>
    <t>ОД на экипировку оружия</t>
  </si>
  <si>
    <t>Универсальный солдат</t>
  </si>
  <si>
    <t>Сопротивление эффектам ударной брони</t>
  </si>
  <si>
    <t>Критическое попадание дробовиков</t>
  </si>
  <si>
    <t>Защита ударной брони</t>
  </si>
  <si>
    <t>Всего2</t>
  </si>
  <si>
    <t>Всего3</t>
  </si>
  <si>
    <t>Всего4</t>
  </si>
  <si>
    <t>Всего5</t>
  </si>
  <si>
    <t>Крит. урон</t>
  </si>
  <si>
    <t>Крит. попадание П П/П</t>
  </si>
  <si>
    <t>Крит. урон П П/П</t>
  </si>
  <si>
    <t>Потеря трофеев</t>
  </si>
  <si>
    <t>Эфф.стимуляторов</t>
  </si>
  <si>
    <t>Длительность стимуляторов</t>
  </si>
  <si>
    <t>Истребитель монстров</t>
  </si>
  <si>
    <t>Урон по мобам</t>
  </si>
  <si>
    <t>Крит. попадание по монстрам</t>
  </si>
  <si>
    <t>Крит. урон по монстрам</t>
  </si>
  <si>
    <t>Урон по монстрам</t>
  </si>
  <si>
    <t>Сопротивление эфф.</t>
  </si>
  <si>
    <t>Сопртотивление эфф.</t>
  </si>
  <si>
    <t>Цепочки имплантов</t>
  </si>
  <si>
    <t>Сорпотивление эфф.</t>
  </si>
  <si>
    <t>Скорость сканирования</t>
  </si>
  <si>
    <t>Чувствительность</t>
  </si>
  <si>
    <t>Радиус</t>
  </si>
  <si>
    <t>Шанс найти лут</t>
  </si>
  <si>
    <t>Регенерация персонажа</t>
  </si>
  <si>
    <t>Крит. Урон ШВ</t>
  </si>
  <si>
    <t>Крит.урон СВ</t>
  </si>
  <si>
    <t>Крит.попадание СВ</t>
  </si>
  <si>
    <t>Точность пулеметы</t>
  </si>
  <si>
    <t>Радиус взрыва мин</t>
  </si>
  <si>
    <t>Радиус взрыва гранат</t>
  </si>
  <si>
    <t>Эфф. боеприпасов</t>
  </si>
  <si>
    <t>Мины</t>
  </si>
  <si>
    <t>Защита ударной</t>
  </si>
  <si>
    <t>Защита щита</t>
  </si>
  <si>
    <t>Эфф. аптечек</t>
  </si>
  <si>
    <t>Ифф. стимуляторов</t>
  </si>
  <si>
    <t>ОД. на использование стимуляторов</t>
  </si>
  <si>
    <t>Крит. попадание по монстры</t>
  </si>
  <si>
    <t>Дальность СВ</t>
  </si>
  <si>
    <t>Точность СВ</t>
  </si>
  <si>
    <t>Од на выстрел пулиметов</t>
  </si>
  <si>
    <t>Защита ТБ</t>
  </si>
  <si>
    <t>Защита ШБ</t>
  </si>
  <si>
    <t>Защита УБ</t>
  </si>
  <si>
    <t xml:space="preserve">Феникс </t>
  </si>
  <si>
    <t>Дальность ШВ</t>
  </si>
  <si>
    <t>эффект11</t>
  </si>
  <si>
    <t>эффект12</t>
  </si>
  <si>
    <t>эффект13</t>
  </si>
  <si>
    <t>эффект14</t>
  </si>
  <si>
    <t>эффект15</t>
  </si>
  <si>
    <t>эффект16</t>
  </si>
  <si>
    <t>Кинетические</t>
  </si>
  <si>
    <t>броня:</t>
  </si>
  <si>
    <t>оружие:</t>
  </si>
  <si>
    <t>Тип выстрела</t>
  </si>
  <si>
    <t>Крепкое Здоровье</t>
  </si>
  <si>
    <t xml:space="preserve"> Здоровье</t>
  </si>
  <si>
    <t>Инвентарь (грузоподъемность)</t>
  </si>
  <si>
    <t>Чужая территория</t>
  </si>
  <si>
    <t>Оглядывайся по сторонам</t>
  </si>
  <si>
    <t>Краевед</t>
  </si>
  <si>
    <t>Картограф</t>
  </si>
  <si>
    <t>Мастер-картограф</t>
  </si>
  <si>
    <t>Спелеолог</t>
  </si>
  <si>
    <t>Иследователь пустоши</t>
  </si>
  <si>
    <t>Городской житель</t>
  </si>
  <si>
    <t>Бетонные джунгли</t>
  </si>
  <si>
    <t>Дитя промзоны</t>
  </si>
  <si>
    <t>Знаток промзоны</t>
  </si>
  <si>
    <t>Шахтер</t>
  </si>
  <si>
    <t>Мастер-шахтер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</si>
</sst>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;0;&quot;&quot;"/>
    <numFmt numFmtId="165" formatCode="0.0"/>
    <numFmt numFmtId="166" formatCode="0.0%"/>
    <numFmt numFmtId="167" formatCode="0.000%"/>
  </numFmts>
  <fonts count="79" x14ac:knownFonts="1">
    <font>
      <sz val="11"/>
      <color theme="1"/>
      <name val="Calibri"/>
      <family val="2"/>
      <charset val="204"/>
      <scheme val="minor"/>
    </font>
    <font>
      <sz val="11"/>
      <color theme="1"/>
      <name val="Tahoma"/>
      <family val="2"/>
      <charset val="204"/>
    </font>
    <font>
      <sz val="11"/>
      <color rgb="FF6F7D64"/>
      <name val="Tahoma"/>
      <family val="2"/>
      <charset val="204"/>
    </font>
    <font>
      <b/>
      <u/>
      <sz val="11"/>
      <color theme="6" tint="-0.249977111117893"/>
      <name val="Tahoma"/>
      <family val="2"/>
      <charset val="204"/>
    </font>
    <font>
      <b/>
      <sz val="11"/>
      <color theme="6" tint="-0.249977111117893"/>
      <name val="Tahoma"/>
      <family val="2"/>
      <charset val="204"/>
    </font>
    <font>
      <sz val="11"/>
      <name val="Arial"/>
      <family val="2"/>
      <charset val="204"/>
    </font>
    <font>
      <sz val="11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rgb="FF6F7D64"/>
      <name val="Tahoma"/>
      <family val="2"/>
      <charset val="204"/>
    </font>
    <font>
      <b/>
      <sz val="10"/>
      <color rgb="FF00B0F0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color rgb="FF6F7D64"/>
      <name val="Tahoma"/>
      <family val="2"/>
      <charset val="204"/>
    </font>
    <font>
      <sz val="10"/>
      <color rgb="FF6F7D64"/>
      <name val="Tahoma"/>
      <family val="2"/>
      <charset val="204"/>
    </font>
    <font>
      <b/>
      <sz val="9"/>
      <color rgb="FF6F7D64"/>
      <name val="Tahoma"/>
      <family val="2"/>
      <charset val="204"/>
    </font>
    <font>
      <b/>
      <sz val="11"/>
      <color rgb="FF6F7D64"/>
      <name val="Tahoma"/>
      <family val="2"/>
      <charset val="204"/>
    </font>
    <font>
      <sz val="9"/>
      <color rgb="FF6F7D64"/>
      <name val="Tahoma"/>
      <family val="2"/>
      <charset val="204"/>
    </font>
    <font>
      <b/>
      <sz val="10"/>
      <color rgb="FFFF0000"/>
      <name val="Tahoma"/>
      <family val="2"/>
      <charset val="204"/>
    </font>
    <font>
      <sz val="11"/>
      <color rgb="FF00B0F0"/>
      <name val="Tahoma"/>
      <family val="2"/>
      <charset val="204"/>
    </font>
    <font>
      <sz val="9"/>
      <color theme="1"/>
      <name val="Calibri"/>
      <family val="2"/>
      <charset val="204"/>
      <scheme val="minor"/>
    </font>
    <font>
      <b/>
      <sz val="10"/>
      <color rgb="FF00FF00"/>
      <name val="Tahoma"/>
      <family val="2"/>
      <charset val="204"/>
    </font>
    <font>
      <sz val="10"/>
      <color rgb="FFC00000"/>
      <name val="Tahoma"/>
      <family val="2"/>
      <charset val="204"/>
    </font>
    <font>
      <sz val="10"/>
      <color rgb="FF92D050"/>
      <name val="Tahoma"/>
      <family val="2"/>
      <charset val="204"/>
    </font>
    <font>
      <sz val="10"/>
      <color rgb="FF00B0F0"/>
      <name val="Tahoma"/>
      <family val="2"/>
      <charset val="204"/>
    </font>
    <font>
      <b/>
      <sz val="9"/>
      <color theme="6" tint="-0.249977111117893"/>
      <name val="Tahoma"/>
      <family val="2"/>
      <charset val="204"/>
    </font>
    <font>
      <b/>
      <sz val="10"/>
      <color theme="6" tint="-0.249977111117893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rgb="FFFF0000"/>
      <name val="Tahoma"/>
      <family val="2"/>
      <charset val="204"/>
    </font>
    <font>
      <sz val="1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00B050"/>
      <name val="Calibri"/>
      <family val="2"/>
      <charset val="204"/>
      <scheme val="minor"/>
    </font>
    <font>
      <b/>
      <sz val="12"/>
      <color rgb="FF0070C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sz val="12"/>
      <color rgb="FF00B050"/>
      <name val="Calibri"/>
      <family val="2"/>
      <charset val="204"/>
      <scheme val="minor"/>
    </font>
    <font>
      <sz val="11"/>
      <color rgb="FF0070C0"/>
      <name val="Calibri"/>
      <family val="2"/>
      <charset val="204"/>
      <scheme val="minor"/>
    </font>
    <font>
      <sz val="12"/>
      <color rgb="FF0070C0"/>
      <name val="Calibri"/>
      <family val="2"/>
      <charset val="204"/>
      <scheme val="minor"/>
    </font>
    <font>
      <b/>
      <sz val="11"/>
      <color rgb="FFFF0000"/>
      <name val="Tahoma"/>
      <family val="2"/>
      <charset val="204"/>
    </font>
    <font>
      <b/>
      <sz val="12"/>
      <color rgb="FF6F7D64"/>
      <name val="Tahoma"/>
      <family val="2"/>
      <charset val="204"/>
    </font>
    <font>
      <b/>
      <u/>
      <sz val="11"/>
      <name val="Calibri"/>
      <family val="2"/>
      <charset val="204"/>
      <scheme val="minor"/>
    </font>
    <font>
      <b/>
      <sz val="8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u/>
      <sz val="14"/>
      <color theme="6" tint="-0.249977111117893"/>
      <name val="Tahoma"/>
      <family val="2"/>
      <charset val="204"/>
    </font>
    <font>
      <b/>
      <sz val="12"/>
      <color theme="0" tint="-0.249977111117893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8"/>
      <color theme="0" tint="-0.249977111117893"/>
      <name val="Calibri"/>
      <family val="2"/>
      <charset val="204"/>
      <scheme val="minor"/>
    </font>
    <font>
      <sz val="1"/>
      <color rgb="FF6F7D64"/>
      <name val="Tahoma"/>
      <family val="2"/>
      <charset val="204"/>
    </font>
    <font>
      <sz val="12"/>
      <color theme="1"/>
      <name val="Calibri"/>
      <family val="2"/>
      <charset val="204"/>
      <scheme val="minor"/>
    </font>
    <font>
      <b/>
      <u/>
      <sz val="8"/>
      <color theme="6" tint="-0.249977111117893"/>
      <name val="Tahoma"/>
      <family val="2"/>
      <charset val="204"/>
    </font>
    <font>
      <b/>
      <sz val="14"/>
      <color rgb="FF6F7D64"/>
      <name val="Tahoma"/>
      <family val="2"/>
      <charset val="204"/>
    </font>
    <font>
      <b/>
      <sz val="11"/>
      <color rgb="FF333333"/>
      <name val="Tahoma"/>
      <family val="2"/>
      <charset val="204"/>
    </font>
    <font>
      <sz val="8"/>
      <color theme="1"/>
      <name val="Calibri"/>
      <family val="2"/>
      <charset val="204"/>
      <scheme val="minor"/>
    </font>
    <font>
      <sz val="14"/>
      <color rgb="FF6F7D64"/>
      <name val="Tahoma"/>
      <family val="2"/>
      <charset val="204"/>
    </font>
    <font>
      <b/>
      <u/>
      <sz val="9"/>
      <color theme="6" tint="-0.249977111117893"/>
      <name val="Tahoma"/>
      <family val="2"/>
      <charset val="204"/>
    </font>
    <font>
      <b/>
      <u/>
      <sz val="10"/>
      <color theme="6" tint="-0.249977111117893"/>
      <name val="Tahoma"/>
      <family val="2"/>
      <charset val="204"/>
    </font>
    <font>
      <b/>
      <u/>
      <sz val="26"/>
      <color theme="1"/>
      <name val="Calibri"/>
      <family val="2"/>
      <charset val="204"/>
      <scheme val="minor"/>
    </font>
    <font>
      <b/>
      <u/>
      <sz val="10"/>
      <color rgb="FFFF0000"/>
      <name val="Tahoma"/>
      <family val="2"/>
      <charset val="204"/>
    </font>
    <font>
      <sz val="11"/>
      <color theme="6" tint="-0.249977111117893"/>
      <name val="Tahoma"/>
      <family val="2"/>
      <charset val="204"/>
    </font>
    <font>
      <sz val="12"/>
      <color theme="1"/>
      <name val="Tahoma"/>
      <family val="2"/>
      <charset val="204"/>
    </font>
    <font>
      <b/>
      <sz val="12"/>
      <color rgb="FF92D050"/>
      <name val="Tahoma"/>
      <family val="2"/>
      <charset val="204"/>
    </font>
    <font>
      <sz val="11"/>
      <color rgb="FF6F7D64"/>
      <name val="Calibri"/>
      <family val="2"/>
      <charset val="204"/>
      <scheme val="minor"/>
    </font>
    <font>
      <sz val="8"/>
      <color rgb="FF000000"/>
      <name val="Segoe UI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92D050"/>
        <bgColor theme="0" tint="-0.1499984740745262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59999389629810485"/>
        <bgColor theme="0" tint="-0.1499984740745262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1C1C1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00B050"/>
        <bgColor indexed="64"/>
      </patternFill>
    </fill>
  </fills>
  <borders count="263">
    <border>
      <left/>
      <right/>
      <top/>
      <bottom/>
      <diagonal/>
    </border>
    <border>
      <left style="thin">
        <color rgb="FF6F7D64"/>
      </left>
      <right/>
      <top style="thin">
        <color rgb="FF6F7D64"/>
      </top>
      <bottom/>
      <diagonal/>
    </border>
    <border>
      <left/>
      <right/>
      <top style="thin">
        <color rgb="FF6F7D64"/>
      </top>
      <bottom/>
      <diagonal/>
    </border>
    <border>
      <left/>
      <right style="thin">
        <color rgb="FF6F7D64"/>
      </right>
      <top style="thin">
        <color rgb="FF6F7D64"/>
      </top>
      <bottom/>
      <diagonal/>
    </border>
    <border>
      <left style="thin">
        <color rgb="FF6F7D64"/>
      </left>
      <right/>
      <top/>
      <bottom/>
      <diagonal/>
    </border>
    <border>
      <left/>
      <right style="thin">
        <color rgb="FF6F7D64"/>
      </right>
      <top/>
      <bottom/>
      <diagonal/>
    </border>
    <border>
      <left style="thin">
        <color rgb="FF6F7D64"/>
      </left>
      <right/>
      <top/>
      <bottom style="thin">
        <color rgb="FF6F7D64"/>
      </bottom>
      <diagonal/>
    </border>
    <border>
      <left/>
      <right/>
      <top/>
      <bottom style="thin">
        <color rgb="FF6F7D64"/>
      </bottom>
      <diagonal/>
    </border>
    <border>
      <left/>
      <right style="thin">
        <color rgb="FF6F7D64"/>
      </right>
      <top/>
      <bottom style="thin">
        <color rgb="FF6F7D64"/>
      </bottom>
      <diagonal/>
    </border>
    <border>
      <left style="thin">
        <color rgb="FF6F7D64"/>
      </left>
      <right/>
      <top style="thin">
        <color rgb="FF6F7D64"/>
      </top>
      <bottom style="thin">
        <color rgb="FF6F7D64"/>
      </bottom>
      <diagonal/>
    </border>
    <border>
      <left/>
      <right/>
      <top style="thin">
        <color rgb="FF6F7D64"/>
      </top>
      <bottom style="thin">
        <color rgb="FF6F7D64"/>
      </bottom>
      <diagonal/>
    </border>
    <border>
      <left/>
      <right style="thin">
        <color rgb="FF6F7D64"/>
      </right>
      <top style="thin">
        <color rgb="FF6F7D64"/>
      </top>
      <bottom style="thin">
        <color rgb="FF6F7D64"/>
      </bottom>
      <diagonal/>
    </border>
    <border>
      <left style="thin">
        <color rgb="FF6F7D64"/>
      </left>
      <right style="thin">
        <color rgb="FF6F7D64"/>
      </right>
      <top style="thin">
        <color rgb="FF6F7D64"/>
      </top>
      <bottom/>
      <diagonal/>
    </border>
    <border>
      <left style="thin">
        <color rgb="FF6F7D64"/>
      </left>
      <right style="thin">
        <color rgb="FF6F7D64"/>
      </right>
      <top/>
      <bottom style="thin">
        <color rgb="FF6F7D64"/>
      </bottom>
      <diagonal/>
    </border>
    <border>
      <left style="thin">
        <color rgb="FF6F7D64"/>
      </left>
      <right style="thin">
        <color rgb="FF6F7D64"/>
      </right>
      <top style="thin">
        <color rgb="FF6F7D64"/>
      </top>
      <bottom style="thin">
        <color rgb="FF6F7D64"/>
      </bottom>
      <diagonal/>
    </border>
    <border>
      <left style="thin">
        <color rgb="FF6F7D64"/>
      </left>
      <right style="thin">
        <color rgb="FF6F7D64"/>
      </right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6F7D64"/>
      </left>
      <right/>
      <top style="medium">
        <color rgb="FF6F7D64"/>
      </top>
      <bottom/>
      <diagonal/>
    </border>
    <border>
      <left/>
      <right/>
      <top style="medium">
        <color rgb="FF6F7D64"/>
      </top>
      <bottom/>
      <diagonal/>
    </border>
    <border>
      <left/>
      <right style="medium">
        <color rgb="FF6F7D64"/>
      </right>
      <top style="medium">
        <color rgb="FF6F7D64"/>
      </top>
      <bottom/>
      <diagonal/>
    </border>
    <border>
      <left/>
      <right style="medium">
        <color rgb="FF6F7D64"/>
      </right>
      <top/>
      <bottom/>
      <diagonal/>
    </border>
    <border>
      <left/>
      <right/>
      <top/>
      <bottom style="medium">
        <color rgb="FF6F7D64"/>
      </bottom>
      <diagonal/>
    </border>
    <border>
      <left/>
      <right style="medium">
        <color rgb="FF6F7D64"/>
      </right>
      <top/>
      <bottom style="medium">
        <color rgb="FF6F7D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theme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medium">
        <color theme="1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/>
      <diagonal/>
    </border>
    <border>
      <left style="thin">
        <color theme="1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rgb="FF6F7D64"/>
      </left>
      <right/>
      <top/>
      <bottom/>
      <diagonal/>
    </border>
    <border>
      <left style="medium">
        <color rgb="FF6F7D64"/>
      </left>
      <right/>
      <top/>
      <bottom style="medium">
        <color rgb="FF6F7D64"/>
      </bottom>
      <diagonal/>
    </border>
    <border>
      <left/>
      <right/>
      <top style="medium">
        <color rgb="FF6F7D64"/>
      </top>
      <bottom style="medium">
        <color rgb="FF6F7D64"/>
      </bottom>
      <diagonal/>
    </border>
    <border>
      <left style="medium">
        <color rgb="FF6F7D64"/>
      </left>
      <right/>
      <top style="medium">
        <color rgb="FF6F7D64"/>
      </top>
      <bottom style="thin">
        <color rgb="FF6F7D64"/>
      </bottom>
      <diagonal/>
    </border>
    <border>
      <left/>
      <right/>
      <top style="medium">
        <color rgb="FF6F7D64"/>
      </top>
      <bottom style="thin">
        <color rgb="FF6F7D64"/>
      </bottom>
      <diagonal/>
    </border>
    <border>
      <left style="medium">
        <color rgb="FF6F7D64"/>
      </left>
      <right/>
      <top style="thin">
        <color rgb="FF6F7D64"/>
      </top>
      <bottom style="thin">
        <color rgb="FF6F7D64"/>
      </bottom>
      <diagonal/>
    </border>
    <border>
      <left/>
      <right style="medium">
        <color rgb="FF6F7D64"/>
      </right>
      <top style="thin">
        <color rgb="FF6F7D64"/>
      </top>
      <bottom/>
      <diagonal/>
    </border>
    <border>
      <left style="medium">
        <color rgb="FF6F7D64"/>
      </left>
      <right style="thin">
        <color rgb="FF6F7D64"/>
      </right>
      <top style="thin">
        <color rgb="FF6F7D64"/>
      </top>
      <bottom/>
      <diagonal/>
    </border>
    <border>
      <left style="medium">
        <color rgb="FF6F7D64"/>
      </left>
      <right style="thin">
        <color rgb="FF6F7D64"/>
      </right>
      <top/>
      <bottom style="thin">
        <color rgb="FF6F7D64"/>
      </bottom>
      <diagonal/>
    </border>
    <border>
      <left/>
      <right style="medium">
        <color rgb="FF6F7D64"/>
      </right>
      <top style="thin">
        <color rgb="FF6F7D64"/>
      </top>
      <bottom style="thin">
        <color rgb="FF6F7D64"/>
      </bottom>
      <diagonal/>
    </border>
    <border>
      <left/>
      <right style="medium">
        <color rgb="FF6F7D64"/>
      </right>
      <top/>
      <bottom style="thin">
        <color rgb="FF6F7D64"/>
      </bottom>
      <diagonal/>
    </border>
    <border>
      <left style="medium">
        <color rgb="FF6F7D64"/>
      </left>
      <right style="thin">
        <color rgb="FF6F7D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/>
      <right style="medium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medium">
        <color rgb="FF6F7D64"/>
      </left>
      <right/>
      <top style="thin">
        <color rgb="FF6F7D64"/>
      </top>
      <bottom/>
      <diagonal/>
    </border>
    <border>
      <left style="medium">
        <color rgb="FF6F7D64"/>
      </left>
      <right/>
      <top/>
      <bottom style="thin">
        <color rgb="FF6F7D64"/>
      </bottom>
      <diagonal/>
    </border>
    <border>
      <left style="thin">
        <color indexed="64"/>
      </left>
      <right style="medium">
        <color theme="1"/>
      </right>
      <top/>
      <bottom style="thin">
        <color indexed="64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/>
      <right style="medium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theme="1"/>
      </bottom>
      <diagonal/>
    </border>
    <border>
      <left style="thin">
        <color rgb="FF6F7D64"/>
      </left>
      <right style="medium">
        <color rgb="FF6F7D64"/>
      </right>
      <top style="thin">
        <color rgb="FF6F7D64"/>
      </top>
      <bottom style="thin">
        <color rgb="FF6F7D64"/>
      </bottom>
      <diagonal/>
    </border>
    <border>
      <left style="medium">
        <color rgb="FF6F7D64"/>
      </left>
      <right style="thin">
        <color rgb="FF6F7D64"/>
      </right>
      <top style="thin">
        <color rgb="FF6F7D64"/>
      </top>
      <bottom style="thin">
        <color rgb="FF6F7D64"/>
      </bottom>
      <diagonal/>
    </border>
    <border>
      <left style="thin">
        <color rgb="FF6F7D64"/>
      </left>
      <right style="thin">
        <color rgb="FF6F7D64"/>
      </right>
      <top style="medium">
        <color rgb="FF6F7D64"/>
      </top>
      <bottom style="thin">
        <color rgb="FF6F7D64"/>
      </bottom>
      <diagonal/>
    </border>
    <border>
      <left style="thin">
        <color rgb="FF6F7D64"/>
      </left>
      <right style="medium">
        <color rgb="FF6F7D64"/>
      </right>
      <top style="medium">
        <color rgb="FF6F7D64"/>
      </top>
      <bottom style="thin">
        <color rgb="FF6F7D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rgb="FF6F7D64"/>
      </left>
      <right style="medium">
        <color rgb="FF6F7D64"/>
      </right>
      <top style="thin">
        <color rgb="FF6F7D64"/>
      </top>
      <bottom/>
      <diagonal/>
    </border>
    <border>
      <left style="thin">
        <color rgb="FF6F7D64"/>
      </left>
      <right style="medium">
        <color rgb="FF6F7D64"/>
      </right>
      <top/>
      <bottom style="thin">
        <color rgb="FF6F7D64"/>
      </bottom>
      <diagonal/>
    </border>
    <border>
      <left style="thin">
        <color rgb="FF111111"/>
      </left>
      <right style="thin">
        <color rgb="FF111111"/>
      </right>
      <top style="thin">
        <color rgb="FF111111"/>
      </top>
      <bottom style="thin">
        <color rgb="FF111111"/>
      </bottom>
      <diagonal/>
    </border>
    <border>
      <left/>
      <right style="thin">
        <color rgb="FF111111"/>
      </right>
      <top style="thin">
        <color rgb="FF111111"/>
      </top>
      <bottom style="thin">
        <color rgb="FF111111"/>
      </bottom>
      <diagonal/>
    </border>
    <border>
      <left style="thin">
        <color rgb="FF111111"/>
      </left>
      <right/>
      <top style="thin">
        <color rgb="FF111111"/>
      </top>
      <bottom style="thin">
        <color rgb="FF111111"/>
      </bottom>
      <diagonal/>
    </border>
    <border>
      <left/>
      <right style="thin">
        <color rgb="FF111111"/>
      </right>
      <top/>
      <bottom style="thin">
        <color rgb="FF111111"/>
      </bottom>
      <diagonal/>
    </border>
    <border>
      <left style="thin">
        <color rgb="FF111111"/>
      </left>
      <right style="thin">
        <color rgb="FF111111"/>
      </right>
      <top/>
      <bottom style="thin">
        <color rgb="FF111111"/>
      </bottom>
      <diagonal/>
    </border>
    <border>
      <left style="thin">
        <color rgb="FF111111"/>
      </left>
      <right/>
      <top/>
      <bottom style="thin">
        <color rgb="FF111111"/>
      </bottom>
      <diagonal/>
    </border>
    <border>
      <left/>
      <right style="thin">
        <color rgb="FF111111"/>
      </right>
      <top style="thin">
        <color rgb="FF111111"/>
      </top>
      <bottom/>
      <diagonal/>
    </border>
    <border>
      <left style="thin">
        <color rgb="FF111111"/>
      </left>
      <right style="thin">
        <color rgb="FF111111"/>
      </right>
      <top style="thin">
        <color rgb="FF111111"/>
      </top>
      <bottom/>
      <diagonal/>
    </border>
    <border>
      <left style="thin">
        <color rgb="FF111111"/>
      </left>
      <right/>
      <top style="thin">
        <color rgb="FF111111"/>
      </top>
      <bottom/>
      <diagonal/>
    </border>
    <border>
      <left style="medium">
        <color rgb="FF6F7D64"/>
      </left>
      <right style="thin">
        <color rgb="FF6F7D64"/>
      </right>
      <top/>
      <bottom style="medium">
        <color rgb="FF6F7D64"/>
      </bottom>
      <diagonal/>
    </border>
    <border>
      <left style="thin">
        <color rgb="FF6F7D64"/>
      </left>
      <right style="thin">
        <color rgb="FF6F7D64"/>
      </right>
      <top/>
      <bottom style="medium">
        <color rgb="FF6F7D64"/>
      </bottom>
      <diagonal/>
    </border>
    <border>
      <left style="thin">
        <color rgb="FF6F7D64"/>
      </left>
      <right/>
      <top/>
      <bottom style="medium">
        <color rgb="FF6F7D64"/>
      </bottom>
      <diagonal/>
    </border>
    <border>
      <left/>
      <right style="thin">
        <color rgb="FF6F7D64"/>
      </right>
      <top style="medium">
        <color rgb="FF6F7D64"/>
      </top>
      <bottom style="thin">
        <color rgb="FF6F7D64"/>
      </bottom>
      <diagonal/>
    </border>
    <border>
      <left style="medium">
        <color indexed="64"/>
      </left>
      <right style="thin">
        <color rgb="FF111111"/>
      </right>
      <top style="medium">
        <color indexed="64"/>
      </top>
      <bottom style="thin">
        <color rgb="FF111111"/>
      </bottom>
      <diagonal/>
    </border>
    <border>
      <left style="thin">
        <color rgb="FF111111"/>
      </left>
      <right style="medium">
        <color indexed="64"/>
      </right>
      <top style="medium">
        <color indexed="64"/>
      </top>
      <bottom style="thin">
        <color rgb="FF111111"/>
      </bottom>
      <diagonal/>
    </border>
    <border>
      <left style="medium">
        <color indexed="64"/>
      </left>
      <right style="thin">
        <color rgb="FF111111"/>
      </right>
      <top/>
      <bottom style="thin">
        <color rgb="FF111111"/>
      </bottom>
      <diagonal/>
    </border>
    <border>
      <left style="thin">
        <color rgb="FF111111"/>
      </left>
      <right style="medium">
        <color indexed="64"/>
      </right>
      <top/>
      <bottom style="thin">
        <color rgb="FF111111"/>
      </bottom>
      <diagonal/>
    </border>
    <border>
      <left style="medium">
        <color indexed="64"/>
      </left>
      <right style="thin">
        <color rgb="FF111111"/>
      </right>
      <top style="thin">
        <color rgb="FF111111"/>
      </top>
      <bottom style="thin">
        <color rgb="FF111111"/>
      </bottom>
      <diagonal/>
    </border>
    <border>
      <left style="thin">
        <color rgb="FF111111"/>
      </left>
      <right style="medium">
        <color indexed="64"/>
      </right>
      <top style="thin">
        <color rgb="FF111111"/>
      </top>
      <bottom style="thin">
        <color rgb="FF111111"/>
      </bottom>
      <diagonal/>
    </border>
    <border>
      <left style="medium">
        <color indexed="64"/>
      </left>
      <right style="thin">
        <color rgb="FF111111"/>
      </right>
      <top style="thin">
        <color rgb="FF111111"/>
      </top>
      <bottom/>
      <diagonal/>
    </border>
    <border>
      <left style="thin">
        <color rgb="FF111111"/>
      </left>
      <right style="medium">
        <color indexed="64"/>
      </right>
      <top style="thin">
        <color rgb="FF111111"/>
      </top>
      <bottom style="medium">
        <color indexed="64"/>
      </bottom>
      <diagonal/>
    </border>
    <border>
      <left style="thin">
        <color rgb="FF111111"/>
      </left>
      <right style="thin">
        <color rgb="FF111111"/>
      </right>
      <top style="medium">
        <color indexed="64"/>
      </top>
      <bottom style="thin">
        <color rgb="FF111111"/>
      </bottom>
      <diagonal/>
    </border>
    <border>
      <left/>
      <right style="thin">
        <color rgb="FF111111"/>
      </right>
      <top/>
      <bottom/>
      <diagonal/>
    </border>
    <border>
      <left style="thin">
        <color rgb="FF111111"/>
      </left>
      <right/>
      <top/>
      <bottom/>
      <diagonal/>
    </border>
    <border>
      <left style="thin">
        <color rgb="FF111111"/>
      </left>
      <right/>
      <top style="medium">
        <color indexed="64"/>
      </top>
      <bottom style="thin">
        <color rgb="FF111111"/>
      </bottom>
      <diagonal/>
    </border>
    <border>
      <left style="thin">
        <color rgb="FF111111"/>
      </left>
      <right/>
      <top style="thin">
        <color rgb="FF11111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111111"/>
      </bottom>
      <diagonal/>
    </border>
    <border>
      <left style="medium">
        <color indexed="64"/>
      </left>
      <right/>
      <top style="thin">
        <color rgb="FF111111"/>
      </top>
      <bottom style="thin">
        <color rgb="FF111111"/>
      </bottom>
      <diagonal/>
    </border>
    <border>
      <left style="medium">
        <color indexed="64"/>
      </left>
      <right/>
      <top style="thin">
        <color rgb="FF111111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6F7D64"/>
      </left>
      <right/>
      <top style="medium">
        <color rgb="FF6F7D64"/>
      </top>
      <bottom/>
      <diagonal/>
    </border>
    <border>
      <left style="medium">
        <color rgb="FF6F7D64"/>
      </left>
      <right style="thin">
        <color rgb="FF6F7D64"/>
      </right>
      <top style="medium">
        <color rgb="FF6F7D64"/>
      </top>
      <bottom/>
      <diagonal/>
    </border>
    <border>
      <left style="thin">
        <color rgb="FF6F7D64"/>
      </left>
      <right style="thin">
        <color rgb="FF6F7D64"/>
      </right>
      <top style="medium">
        <color rgb="FF6F7D64"/>
      </top>
      <bottom/>
      <diagonal/>
    </border>
    <border>
      <left style="medium">
        <color rgb="FF6F7D64"/>
      </left>
      <right/>
      <top style="thin">
        <color rgb="FF6F7D64"/>
      </top>
      <bottom style="medium">
        <color rgb="FF6F7D64"/>
      </bottom>
      <diagonal/>
    </border>
    <border>
      <left/>
      <right/>
      <top style="thin">
        <color rgb="FF6F7D64"/>
      </top>
      <bottom style="medium">
        <color rgb="FF6F7D64"/>
      </bottom>
      <diagonal/>
    </border>
    <border>
      <left style="thin">
        <color rgb="FF6F7D64"/>
      </left>
      <right/>
      <top style="thin">
        <color rgb="FF6F7D64"/>
      </top>
      <bottom style="medium">
        <color rgb="FF6F7D64"/>
      </bottom>
      <diagonal/>
    </border>
    <border>
      <left/>
      <right style="thin">
        <color rgb="FF6F7D64"/>
      </right>
      <top style="thin">
        <color rgb="FF6F7D64"/>
      </top>
      <bottom style="medium">
        <color rgb="FF6F7D64"/>
      </bottom>
      <diagonal/>
    </border>
    <border>
      <left/>
      <right style="medium">
        <color rgb="FF6F7D64"/>
      </right>
      <top style="thin">
        <color rgb="FF6F7D64"/>
      </top>
      <bottom style="medium">
        <color rgb="FF6F7D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F7D64"/>
      </left>
      <right style="thin">
        <color rgb="FF6F7D64"/>
      </right>
      <top style="medium">
        <color rgb="FF6F7D64"/>
      </top>
      <bottom style="thin">
        <color rgb="FF6F7D64"/>
      </bottom>
      <diagonal/>
    </border>
    <border>
      <left style="medium">
        <color rgb="FF6F7D64"/>
      </left>
      <right style="thin">
        <color rgb="FF6F7D64"/>
      </right>
      <top style="thin">
        <color rgb="FF6F7D64"/>
      </top>
      <bottom style="medium">
        <color rgb="FF6F7D64"/>
      </bottom>
      <diagonal/>
    </border>
    <border>
      <left style="thin">
        <color rgb="FF6F7D64"/>
      </left>
      <right style="thin">
        <color rgb="FF6F7D64"/>
      </right>
      <top style="thin">
        <color rgb="FF6F7D64"/>
      </top>
      <bottom style="medium">
        <color rgb="FF6F7D64"/>
      </bottom>
      <diagonal/>
    </border>
    <border>
      <left style="thin">
        <color rgb="FF6F7D64"/>
      </left>
      <right style="medium">
        <color rgb="FF6F7D64"/>
      </right>
      <top style="thin">
        <color rgb="FF6F7D64"/>
      </top>
      <bottom style="medium">
        <color rgb="FF6F7D64"/>
      </bottom>
      <diagonal/>
    </border>
    <border>
      <left style="thin">
        <color rgb="FF6F7D64"/>
      </left>
      <right/>
      <top style="medium">
        <color rgb="FF6F7D64"/>
      </top>
      <bottom style="thin">
        <color rgb="FF6F7D64"/>
      </bottom>
      <diagonal/>
    </border>
    <border>
      <left style="medium">
        <color rgb="FF6F7D64"/>
      </left>
      <right style="medium">
        <color rgb="FF6F7D64"/>
      </right>
      <top style="medium">
        <color rgb="FF6F7D64"/>
      </top>
      <bottom style="medium">
        <color rgb="FF6F7D64"/>
      </bottom>
      <diagonal/>
    </border>
    <border>
      <left style="medium">
        <color rgb="FF6F7D64"/>
      </left>
      <right/>
      <top style="medium">
        <color rgb="FF6F7D64"/>
      </top>
      <bottom style="medium">
        <color rgb="FF6F7D64"/>
      </bottom>
      <diagonal/>
    </border>
    <border>
      <left/>
      <right style="thin">
        <color rgb="FF6F7D64"/>
      </right>
      <top/>
      <bottom style="medium">
        <color rgb="FF6F7D64"/>
      </bottom>
      <diagonal/>
    </border>
    <border>
      <left style="thin">
        <color rgb="FF6F7D64"/>
      </left>
      <right style="medium">
        <color rgb="FF6F7D64"/>
      </right>
      <top/>
      <bottom style="medium">
        <color rgb="FF6F7D64"/>
      </bottom>
      <diagonal/>
    </border>
    <border>
      <left style="medium">
        <color rgb="FF6F7D64"/>
      </left>
      <right style="medium">
        <color rgb="FF6F7D64"/>
      </right>
      <top style="thin">
        <color rgb="FF6F7D64"/>
      </top>
      <bottom style="thin">
        <color rgb="FF6F7D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theme="1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6F7D64"/>
      </left>
      <right style="medium">
        <color rgb="FF6F7D64"/>
      </right>
      <top style="medium">
        <color rgb="FF6F7D64"/>
      </top>
      <bottom/>
      <diagonal/>
    </border>
    <border>
      <left style="medium">
        <color rgb="FF6F7D64"/>
      </left>
      <right style="thin">
        <color rgb="FF6F7D64"/>
      </right>
      <top style="medium">
        <color rgb="FF6F7D64"/>
      </top>
      <bottom style="medium">
        <color rgb="FF6F7D64"/>
      </bottom>
      <diagonal/>
    </border>
    <border>
      <left style="thin">
        <color rgb="FF6F7D64"/>
      </left>
      <right style="thin">
        <color rgb="FF6F7D64"/>
      </right>
      <top style="medium">
        <color rgb="FF6F7D64"/>
      </top>
      <bottom style="medium">
        <color rgb="FF6F7D64"/>
      </bottom>
      <diagonal/>
    </border>
    <border>
      <left style="thin">
        <color rgb="FF6F7D64"/>
      </left>
      <right style="medium">
        <color rgb="FF6F7D64"/>
      </right>
      <top style="medium">
        <color rgb="FF6F7D64"/>
      </top>
      <bottom style="medium">
        <color rgb="FF6F7D64"/>
      </bottom>
      <diagonal/>
    </border>
    <border>
      <left/>
      <right style="medium">
        <color rgb="FF6F7D64"/>
      </right>
      <top style="medium">
        <color rgb="FF6F7D64"/>
      </top>
      <bottom style="medium">
        <color rgb="FF6F7D64"/>
      </bottom>
      <diagonal/>
    </border>
    <border>
      <left/>
      <right/>
      <top/>
      <bottom style="medium">
        <color theme="1"/>
      </bottom>
      <diagonal/>
    </border>
    <border>
      <left style="thin">
        <color rgb="FF6F7D64"/>
      </left>
      <right style="medium">
        <color rgb="FF6F7D64"/>
      </right>
      <top/>
      <bottom/>
      <diagonal/>
    </border>
    <border>
      <left style="medium">
        <color theme="1"/>
      </left>
      <right/>
      <top style="medium">
        <color theme="1"/>
      </top>
      <bottom style="thin">
        <color theme="1"/>
      </bottom>
      <diagonal/>
    </border>
    <border>
      <left/>
      <right/>
      <top style="medium">
        <color theme="1"/>
      </top>
      <bottom style="thin">
        <color theme="1"/>
      </bottom>
      <diagonal/>
    </border>
    <border>
      <left/>
      <right style="medium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 style="medium">
        <color indexed="64"/>
      </top>
      <bottom style="thin">
        <color indexed="64"/>
      </bottom>
      <diagonal/>
    </border>
    <border>
      <left/>
      <right style="medium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1"/>
      </right>
      <top/>
      <bottom/>
      <diagonal/>
    </border>
  </borders>
  <cellStyleXfs count="3">
    <xf numFmtId="0" fontId="0" fillId="0" borderId="0"/>
    <xf numFmtId="0" fontId="16" fillId="0" borderId="0"/>
    <xf numFmtId="9" fontId="16" fillId="0" borderId="0" applyFont="0" applyFill="0" applyBorder="0" applyAlignment="0" applyProtection="0"/>
  </cellStyleXfs>
  <cellXfs count="1988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7" xfId="0" applyFont="1" applyBorder="1" applyAlignment="1">
      <alignment vertical="center"/>
    </xf>
    <xf numFmtId="10" fontId="6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vertical="center"/>
    </xf>
    <xf numFmtId="3" fontId="6" fillId="2" borderId="0" xfId="0" applyNumberFormat="1" applyFont="1" applyFill="1" applyAlignment="1">
      <alignment horizontal="center" vertical="center"/>
    </xf>
    <xf numFmtId="3" fontId="6" fillId="0" borderId="0" xfId="0" applyNumberFormat="1" applyFont="1" applyAlignment="1">
      <alignment horizontal="center" vertical="center"/>
    </xf>
    <xf numFmtId="3" fontId="7" fillId="5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5" fillId="0" borderId="0" xfId="0" applyNumberFormat="1" applyFont="1" applyAlignment="1">
      <alignment horizontal="center" vertical="center"/>
    </xf>
    <xf numFmtId="3" fontId="6" fillId="0" borderId="0" xfId="0" applyNumberFormat="1" applyFont="1" applyAlignment="1" applyProtection="1">
      <alignment horizontal="center" vertical="center"/>
      <protection locked="0"/>
    </xf>
    <xf numFmtId="3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0" fontId="2" fillId="0" borderId="13" xfId="0" applyNumberFormat="1" applyFont="1" applyBorder="1" applyAlignment="1">
      <alignment horizontal="center" vertical="center"/>
    </xf>
    <xf numFmtId="2" fontId="2" fillId="0" borderId="13" xfId="0" applyNumberFormat="1" applyFont="1" applyBorder="1" applyAlignment="1">
      <alignment horizontal="center" vertical="center"/>
    </xf>
    <xf numFmtId="0" fontId="24" fillId="0" borderId="0" xfId="0" applyFont="1"/>
    <xf numFmtId="10" fontId="24" fillId="0" borderId="0" xfId="0" applyNumberFormat="1" applyFont="1"/>
    <xf numFmtId="0" fontId="20" fillId="0" borderId="0" xfId="0" applyFont="1" applyAlignment="1">
      <alignment horizontal="center" vertical="center"/>
    </xf>
    <xf numFmtId="0" fontId="2" fillId="0" borderId="0" xfId="0" applyFont="1"/>
    <xf numFmtId="0" fontId="2" fillId="0" borderId="14" xfId="0" applyFont="1" applyBorder="1" applyAlignment="1">
      <alignment vertical="center"/>
    </xf>
    <xf numFmtId="2" fontId="14" fillId="0" borderId="14" xfId="0" applyNumberFormat="1" applyFont="1" applyBorder="1" applyAlignment="1">
      <alignment horizontal="center" vertical="center"/>
    </xf>
    <xf numFmtId="2" fontId="14" fillId="0" borderId="11" xfId="0" applyNumberFormat="1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/>
    </xf>
    <xf numFmtId="2" fontId="22" fillId="0" borderId="14" xfId="0" applyNumberFormat="1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2" fontId="25" fillId="0" borderId="14" xfId="0" applyNumberFormat="1" applyFont="1" applyBorder="1" applyAlignment="1">
      <alignment horizontal="center" vertical="center"/>
    </xf>
    <xf numFmtId="10" fontId="14" fillId="0" borderId="11" xfId="0" applyNumberFormat="1" applyFont="1" applyBorder="1" applyAlignment="1">
      <alignment horizontal="center" vertical="center"/>
    </xf>
    <xf numFmtId="10" fontId="14" fillId="0" borderId="14" xfId="0" applyNumberFormat="1" applyFont="1" applyBorder="1" applyAlignment="1">
      <alignment horizontal="center" vertical="center"/>
    </xf>
    <xf numFmtId="2" fontId="15" fillId="0" borderId="14" xfId="0" applyNumberFormat="1" applyFont="1" applyBorder="1" applyAlignment="1">
      <alignment horizontal="center" vertical="center"/>
    </xf>
    <xf numFmtId="0" fontId="19" fillId="0" borderId="9" xfId="0" applyFont="1" applyBorder="1" applyAlignment="1">
      <alignment horizontal="center"/>
    </xf>
    <xf numFmtId="0" fontId="2" fillId="0" borderId="14" xfId="0" applyFont="1" applyBorder="1" applyAlignment="1">
      <alignment horizontal="center" vertical="center"/>
    </xf>
    <xf numFmtId="0" fontId="2" fillId="0" borderId="12" xfId="0" applyFont="1" applyBorder="1" applyAlignment="1">
      <alignment horizontal="left" vertical="center"/>
    </xf>
    <xf numFmtId="0" fontId="18" fillId="0" borderId="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0" fontId="2" fillId="0" borderId="14" xfId="0" applyNumberFormat="1" applyFont="1" applyBorder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3" fontId="2" fillId="0" borderId="10" xfId="0" applyNumberFormat="1" applyFont="1" applyBorder="1" applyAlignment="1">
      <alignment horizontal="center" vertical="center"/>
    </xf>
    <xf numFmtId="0" fontId="6" fillId="0" borderId="0" xfId="0" applyFont="1"/>
    <xf numFmtId="0" fontId="2" fillId="0" borderId="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4" xfId="0" applyFont="1" applyBorder="1" applyAlignment="1">
      <alignment vertical="center"/>
    </xf>
    <xf numFmtId="0" fontId="26" fillId="0" borderId="11" xfId="0" applyFont="1" applyBorder="1" applyAlignment="1">
      <alignment horizontal="center" vertical="center"/>
    </xf>
    <xf numFmtId="0" fontId="2" fillId="0" borderId="9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2" fillId="0" borderId="6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7" xfId="0" applyFont="1" applyBorder="1" applyAlignment="1">
      <alignment horizontal="center" vertical="center"/>
    </xf>
    <xf numFmtId="3" fontId="2" fillId="0" borderId="7" xfId="0" applyNumberFormat="1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10" fontId="18" fillId="0" borderId="14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15" xfId="0" applyFont="1" applyBorder="1" applyAlignment="1">
      <alignment horizontal="center" vertical="center"/>
    </xf>
    <xf numFmtId="10" fontId="17" fillId="0" borderId="5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4" fillId="0" borderId="0" xfId="0" quotePrefix="1" applyFont="1" applyAlignment="1">
      <alignment horizontal="center" vertical="center"/>
    </xf>
    <xf numFmtId="2" fontId="29" fillId="0" borderId="14" xfId="0" applyNumberFormat="1" applyFont="1" applyBorder="1" applyAlignment="1" applyProtection="1">
      <alignment horizontal="center" vertical="center"/>
      <protection locked="0"/>
    </xf>
    <xf numFmtId="0" fontId="30" fillId="0" borderId="11" xfId="0" applyFont="1" applyBorder="1" applyAlignment="1" applyProtection="1">
      <alignment horizontal="center" vertical="center"/>
      <protection locked="0"/>
    </xf>
    <xf numFmtId="0" fontId="30" fillId="0" borderId="14" xfId="0" applyFont="1" applyBorder="1" applyAlignment="1" applyProtection="1">
      <alignment horizontal="center" vertical="center"/>
      <protection locked="0"/>
    </xf>
    <xf numFmtId="10" fontId="30" fillId="0" borderId="14" xfId="0" applyNumberFormat="1" applyFont="1" applyBorder="1" applyAlignment="1" applyProtection="1">
      <alignment horizontal="center" vertical="center"/>
      <protection locked="0"/>
    </xf>
    <xf numFmtId="2" fontId="30" fillId="0" borderId="14" xfId="0" applyNumberFormat="1" applyFont="1" applyBorder="1" applyAlignment="1" applyProtection="1">
      <alignment horizontal="center" vertical="center"/>
      <protection locked="0"/>
    </xf>
    <xf numFmtId="0" fontId="4" fillId="0" borderId="10" xfId="0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vertical="center"/>
    </xf>
    <xf numFmtId="0" fontId="0" fillId="7" borderId="0" xfId="0" applyFill="1"/>
    <xf numFmtId="0" fontId="0" fillId="7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0" fontId="0" fillId="7" borderId="42" xfId="0" applyFill="1" applyBorder="1"/>
    <xf numFmtId="0" fontId="1" fillId="7" borderId="0" xfId="0" applyFont="1" applyFill="1" applyAlignment="1">
      <alignment horizontal="center" vertical="center"/>
    </xf>
    <xf numFmtId="10" fontId="0" fillId="7" borderId="0" xfId="0" applyNumberFormat="1" applyFill="1" applyAlignment="1">
      <alignment vertical="center"/>
    </xf>
    <xf numFmtId="0" fontId="0" fillId="7" borderId="41" xfId="0" applyFill="1" applyBorder="1"/>
    <xf numFmtId="0" fontId="0" fillId="7" borderId="0" xfId="0" applyFill="1" applyAlignment="1">
      <alignment horizontal="center"/>
    </xf>
    <xf numFmtId="0" fontId="1" fillId="7" borderId="42" xfId="0" applyFont="1" applyFill="1" applyBorder="1" applyAlignment="1">
      <alignment horizontal="center" vertical="center"/>
    </xf>
    <xf numFmtId="0" fontId="1" fillId="7" borderId="41" xfId="0" applyFont="1" applyFill="1" applyBorder="1" applyAlignment="1">
      <alignment horizontal="center" vertical="center"/>
    </xf>
    <xf numFmtId="0" fontId="0" fillId="7" borderId="39" xfId="0" applyFill="1" applyBorder="1"/>
    <xf numFmtId="0" fontId="0" fillId="7" borderId="38" xfId="0" applyFill="1" applyBorder="1"/>
    <xf numFmtId="0" fontId="0" fillId="0" borderId="32" xfId="0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19" fillId="0" borderId="14" xfId="0" applyFont="1" applyBorder="1" applyAlignment="1">
      <alignment horizontal="center"/>
    </xf>
    <xf numFmtId="0" fontId="0" fillId="2" borderId="39" xfId="0" applyFill="1" applyBorder="1" applyAlignment="1">
      <alignment horizontal="center" vertical="center"/>
    </xf>
    <xf numFmtId="0" fontId="0" fillId="2" borderId="42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164" fontId="2" fillId="0" borderId="15" xfId="0" applyNumberFormat="1" applyFont="1" applyBorder="1" applyAlignment="1">
      <alignment horizontal="center" vertical="center"/>
    </xf>
    <xf numFmtId="0" fontId="16" fillId="8" borderId="32" xfId="1" applyFill="1" applyBorder="1" applyAlignment="1">
      <alignment horizontal="center" vertical="center"/>
    </xf>
    <xf numFmtId="0" fontId="16" fillId="8" borderId="29" xfId="1" applyFill="1" applyBorder="1" applyAlignment="1">
      <alignment horizontal="center" vertical="center"/>
    </xf>
    <xf numFmtId="0" fontId="16" fillId="8" borderId="30" xfId="1" applyFill="1" applyBorder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  <xf numFmtId="0" fontId="13" fillId="7" borderId="59" xfId="1" applyFont="1" applyFill="1" applyBorder="1" applyAlignment="1">
      <alignment horizontal="center" vertical="center"/>
    </xf>
    <xf numFmtId="0" fontId="13" fillId="7" borderId="27" xfId="1" applyFont="1" applyFill="1" applyBorder="1" applyAlignment="1">
      <alignment horizontal="center" vertical="center"/>
    </xf>
    <xf numFmtId="10" fontId="16" fillId="8" borderId="51" xfId="1" applyNumberFormat="1" applyFill="1" applyBorder="1" applyAlignment="1">
      <alignment horizontal="center" vertical="center"/>
    </xf>
    <xf numFmtId="0" fontId="16" fillId="8" borderId="28" xfId="1" applyFill="1" applyBorder="1" applyAlignment="1">
      <alignment horizontal="center" vertical="center"/>
    </xf>
    <xf numFmtId="10" fontId="16" fillId="8" borderId="28" xfId="1" applyNumberFormat="1" applyFill="1" applyBorder="1" applyAlignment="1">
      <alignment horizontal="center" vertical="center"/>
    </xf>
    <xf numFmtId="0" fontId="13" fillId="2" borderId="28" xfId="1" applyFont="1" applyFill="1" applyBorder="1" applyAlignment="1">
      <alignment horizontal="center" vertical="center"/>
    </xf>
    <xf numFmtId="3" fontId="6" fillId="8" borderId="0" xfId="0" applyNumberFormat="1" applyFont="1" applyFill="1" applyAlignment="1">
      <alignment horizontal="center" vertical="center"/>
    </xf>
    <xf numFmtId="3" fontId="6" fillId="2" borderId="28" xfId="0" applyNumberFormat="1" applyFont="1" applyFill="1" applyBorder="1" applyAlignment="1">
      <alignment horizontal="center" vertical="center"/>
    </xf>
    <xf numFmtId="3" fontId="6" fillId="7" borderId="59" xfId="0" applyNumberFormat="1" applyFont="1" applyFill="1" applyBorder="1" applyAlignment="1">
      <alignment horizontal="center" vertical="center"/>
    </xf>
    <xf numFmtId="3" fontId="9" fillId="7" borderId="59" xfId="0" applyNumberFormat="1" applyFont="1" applyFill="1" applyBorder="1" applyAlignment="1">
      <alignment horizontal="center" vertical="center"/>
    </xf>
    <xf numFmtId="3" fontId="6" fillId="7" borderId="27" xfId="0" applyNumberFormat="1" applyFont="1" applyFill="1" applyBorder="1" applyAlignment="1">
      <alignment horizontal="center" vertical="center"/>
    </xf>
    <xf numFmtId="3" fontId="6" fillId="8" borderId="51" xfId="0" applyNumberFormat="1" applyFont="1" applyFill="1" applyBorder="1" applyAlignment="1">
      <alignment horizontal="center" vertical="center"/>
    </xf>
    <xf numFmtId="3" fontId="6" fillId="8" borderId="32" xfId="0" applyNumberFormat="1" applyFont="1" applyFill="1" applyBorder="1" applyAlignment="1">
      <alignment horizontal="center" vertical="center"/>
    </xf>
    <xf numFmtId="3" fontId="5" fillId="8" borderId="51" xfId="0" applyNumberFormat="1" applyFont="1" applyFill="1" applyBorder="1" applyAlignment="1">
      <alignment horizontal="center" vertical="center"/>
    </xf>
    <xf numFmtId="3" fontId="6" fillId="8" borderId="24" xfId="0" applyNumberFormat="1" applyFont="1" applyFill="1" applyBorder="1" applyAlignment="1">
      <alignment horizontal="center" vertical="center"/>
    </xf>
    <xf numFmtId="3" fontId="6" fillId="8" borderId="30" xfId="0" applyNumberFormat="1" applyFont="1" applyFill="1" applyBorder="1" applyAlignment="1">
      <alignment horizontal="center" vertical="center"/>
    </xf>
    <xf numFmtId="0" fontId="13" fillId="8" borderId="51" xfId="1" applyFont="1" applyFill="1" applyBorder="1" applyAlignment="1">
      <alignment horizontal="center" vertical="center"/>
    </xf>
    <xf numFmtId="0" fontId="13" fillId="8" borderId="24" xfId="1" applyFont="1" applyFill="1" applyBorder="1" applyAlignment="1">
      <alignment horizontal="center" vertical="center"/>
    </xf>
    <xf numFmtId="3" fontId="5" fillId="2" borderId="28" xfId="0" applyNumberFormat="1" applyFont="1" applyFill="1" applyBorder="1" applyAlignment="1">
      <alignment horizontal="center" vertical="center"/>
    </xf>
    <xf numFmtId="10" fontId="40" fillId="8" borderId="32" xfId="0" applyNumberFormat="1" applyFont="1" applyFill="1" applyBorder="1" applyAlignment="1">
      <alignment horizontal="center" vertical="center"/>
    </xf>
    <xf numFmtId="3" fontId="10" fillId="8" borderId="51" xfId="0" applyNumberFormat="1" applyFont="1" applyFill="1" applyBorder="1" applyAlignment="1">
      <alignment horizontal="center" vertical="center"/>
    </xf>
    <xf numFmtId="3" fontId="10" fillId="8" borderId="32" xfId="0" applyNumberFormat="1" applyFont="1" applyFill="1" applyBorder="1" applyAlignment="1">
      <alignment horizontal="center" vertical="center"/>
    </xf>
    <xf numFmtId="3" fontId="6" fillId="8" borderId="60" xfId="0" applyNumberFormat="1" applyFont="1" applyFill="1" applyBorder="1" applyAlignment="1">
      <alignment horizontal="center" vertical="center"/>
    </xf>
    <xf numFmtId="0" fontId="10" fillId="8" borderId="29" xfId="0" applyFont="1" applyFill="1" applyBorder="1" applyAlignment="1">
      <alignment horizontal="center" vertical="center"/>
    </xf>
    <xf numFmtId="0" fontId="6" fillId="8" borderId="29" xfId="0" applyFont="1" applyFill="1" applyBorder="1" applyAlignment="1">
      <alignment horizontal="center" vertical="center"/>
    </xf>
    <xf numFmtId="3" fontId="8" fillId="2" borderId="28" xfId="0" applyNumberFormat="1" applyFont="1" applyFill="1" applyBorder="1" applyAlignment="1">
      <alignment horizontal="center" vertical="center"/>
    </xf>
    <xf numFmtId="3" fontId="6" fillId="9" borderId="0" xfId="0" applyNumberFormat="1" applyFont="1" applyFill="1" applyAlignment="1">
      <alignment horizontal="center" vertical="center"/>
    </xf>
    <xf numFmtId="3" fontId="9" fillId="7" borderId="27" xfId="0" applyNumberFormat="1" applyFont="1" applyFill="1" applyBorder="1" applyAlignment="1">
      <alignment horizontal="center" vertical="center"/>
    </xf>
    <xf numFmtId="3" fontId="6" fillId="9" borderId="32" xfId="0" applyNumberFormat="1" applyFont="1" applyFill="1" applyBorder="1" applyAlignment="1">
      <alignment horizontal="center" vertical="center"/>
    </xf>
    <xf numFmtId="3" fontId="6" fillId="9" borderId="30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3" fontId="10" fillId="8" borderId="24" xfId="0" applyNumberFormat="1" applyFont="1" applyFill="1" applyBorder="1" applyAlignment="1">
      <alignment horizontal="center" vertical="center"/>
    </xf>
    <xf numFmtId="0" fontId="39" fillId="0" borderId="68" xfId="0" applyFont="1" applyBorder="1" applyAlignment="1">
      <alignment horizontal="center" vertical="center"/>
    </xf>
    <xf numFmtId="3" fontId="9" fillId="2" borderId="28" xfId="0" applyNumberFormat="1" applyFont="1" applyFill="1" applyBorder="1" applyAlignment="1">
      <alignment horizontal="center" vertical="center"/>
    </xf>
    <xf numFmtId="0" fontId="0" fillId="0" borderId="38" xfId="0" applyBorder="1" applyAlignment="1">
      <alignment horizontal="left" vertical="center"/>
    </xf>
    <xf numFmtId="0" fontId="39" fillId="0" borderId="61" xfId="0" applyFont="1" applyBorder="1" applyAlignment="1">
      <alignment horizontal="center" vertical="center"/>
    </xf>
    <xf numFmtId="0" fontId="39" fillId="2" borderId="68" xfId="0" applyFont="1" applyFill="1" applyBorder="1" applyAlignment="1">
      <alignment horizontal="center" vertical="center"/>
    </xf>
    <xf numFmtId="3" fontId="41" fillId="0" borderId="0" xfId="0" applyNumberFormat="1" applyFont="1" applyAlignment="1">
      <alignment horizontal="center" vertical="center"/>
    </xf>
    <xf numFmtId="3" fontId="40" fillId="0" borderId="0" xfId="0" applyNumberFormat="1" applyFont="1" applyAlignment="1">
      <alignment horizontal="center" vertical="center"/>
    </xf>
    <xf numFmtId="3" fontId="40" fillId="5" borderId="0" xfId="0" applyNumberFormat="1" applyFont="1" applyFill="1" applyAlignment="1">
      <alignment horizontal="center" vertical="center"/>
    </xf>
    <xf numFmtId="3" fontId="41" fillId="8" borderId="32" xfId="0" applyNumberFormat="1" applyFont="1" applyFill="1" applyBorder="1" applyAlignment="1">
      <alignment horizontal="center" vertical="center"/>
    </xf>
    <xf numFmtId="3" fontId="41" fillId="8" borderId="30" xfId="0" applyNumberFormat="1" applyFont="1" applyFill="1" applyBorder="1" applyAlignment="1">
      <alignment horizontal="center" vertical="center"/>
    </xf>
    <xf numFmtId="3" fontId="6" fillId="8" borderId="29" xfId="0" applyNumberFormat="1" applyFont="1" applyFill="1" applyBorder="1" applyAlignment="1">
      <alignment horizontal="center" vertical="center"/>
    </xf>
    <xf numFmtId="3" fontId="6" fillId="9" borderId="51" xfId="0" applyNumberFormat="1" applyFont="1" applyFill="1" applyBorder="1" applyAlignment="1">
      <alignment horizontal="center" vertical="center"/>
    </xf>
    <xf numFmtId="3" fontId="6" fillId="9" borderId="24" xfId="0" applyNumberFormat="1" applyFont="1" applyFill="1" applyBorder="1" applyAlignment="1">
      <alignment horizontal="center" vertical="center"/>
    </xf>
    <xf numFmtId="3" fontId="40" fillId="2" borderId="28" xfId="0" applyNumberFormat="1" applyFont="1" applyFill="1" applyBorder="1" applyAlignment="1">
      <alignment horizontal="center" vertical="center"/>
    </xf>
    <xf numFmtId="3" fontId="40" fillId="8" borderId="51" xfId="0" applyNumberFormat="1" applyFont="1" applyFill="1" applyBorder="1" applyAlignment="1">
      <alignment horizontal="center" vertical="center"/>
    </xf>
    <xf numFmtId="3" fontId="40" fillId="8" borderId="24" xfId="0" applyNumberFormat="1" applyFont="1" applyFill="1" applyBorder="1" applyAlignment="1">
      <alignment horizontal="center" vertical="center"/>
    </xf>
    <xf numFmtId="3" fontId="40" fillId="4" borderId="28" xfId="0" applyNumberFormat="1" applyFont="1" applyFill="1" applyBorder="1" applyAlignment="1">
      <alignment horizontal="center" vertical="center"/>
    </xf>
    <xf numFmtId="3" fontId="41" fillId="9" borderId="32" xfId="0" applyNumberFormat="1" applyFont="1" applyFill="1" applyBorder="1" applyAlignment="1">
      <alignment horizontal="center" vertical="center"/>
    </xf>
    <xf numFmtId="3" fontId="6" fillId="7" borderId="0" xfId="0" applyNumberFormat="1" applyFont="1" applyFill="1" applyAlignment="1">
      <alignment horizontal="center" vertical="center"/>
    </xf>
    <xf numFmtId="0" fontId="39" fillId="0" borderId="49" xfId="0" applyFont="1" applyBorder="1" applyAlignment="1">
      <alignment horizontal="center" vertical="center"/>
    </xf>
    <xf numFmtId="0" fontId="39" fillId="0" borderId="26" xfId="0" applyFont="1" applyBorder="1" applyAlignment="1">
      <alignment horizontal="center" vertical="center"/>
    </xf>
    <xf numFmtId="3" fontId="5" fillId="8" borderId="0" xfId="0" applyNumberFormat="1" applyFont="1" applyFill="1" applyAlignment="1">
      <alignment horizontal="center" vertical="center"/>
    </xf>
    <xf numFmtId="3" fontId="5" fillId="9" borderId="0" xfId="0" applyNumberFormat="1" applyFont="1" applyFill="1" applyAlignment="1">
      <alignment horizontal="center" vertical="center"/>
    </xf>
    <xf numFmtId="3" fontId="5" fillId="9" borderId="51" xfId="0" applyNumberFormat="1" applyFont="1" applyFill="1" applyBorder="1" applyAlignment="1">
      <alignment horizontal="center" vertical="center"/>
    </xf>
    <xf numFmtId="0" fontId="39" fillId="0" borderId="26" xfId="0" applyFont="1" applyBorder="1" applyAlignment="1">
      <alignment horizontal="center"/>
    </xf>
    <xf numFmtId="0" fontId="39" fillId="0" borderId="74" xfId="0" applyFont="1" applyBorder="1" applyAlignment="1">
      <alignment horizontal="center" vertical="center"/>
    </xf>
    <xf numFmtId="0" fontId="0" fillId="0" borderId="38" xfId="0" applyBorder="1" applyAlignment="1">
      <alignment horizontal="left"/>
    </xf>
    <xf numFmtId="0" fontId="39" fillId="0" borderId="66" xfId="0" applyFont="1" applyBorder="1" applyAlignment="1">
      <alignment horizontal="center" vertical="center"/>
    </xf>
    <xf numFmtId="10" fontId="6" fillId="7" borderId="0" xfId="0" applyNumberFormat="1" applyFont="1" applyFill="1" applyAlignment="1">
      <alignment horizontal="center" vertical="center"/>
    </xf>
    <xf numFmtId="2" fontId="39" fillId="0" borderId="68" xfId="0" applyNumberFormat="1" applyFont="1" applyBorder="1" applyAlignment="1">
      <alignment horizontal="center" vertical="center"/>
    </xf>
    <xf numFmtId="0" fontId="4" fillId="0" borderId="2" xfId="0" applyFont="1" applyBorder="1" applyAlignment="1" applyProtection="1">
      <alignment horizontal="center" vertical="center"/>
      <protection locked="0"/>
    </xf>
    <xf numFmtId="0" fontId="30" fillId="0" borderId="10" xfId="0" applyFont="1" applyBorder="1" applyAlignment="1" applyProtection="1">
      <alignment horizontal="center" vertical="center"/>
      <protection locked="0"/>
    </xf>
    <xf numFmtId="10" fontId="30" fillId="0" borderId="9" xfId="0" applyNumberFormat="1" applyFont="1" applyBorder="1" applyAlignment="1" applyProtection="1">
      <alignment horizontal="center" vertical="center"/>
      <protection locked="0"/>
    </xf>
    <xf numFmtId="0" fontId="30" fillId="0" borderId="9" xfId="0" applyFont="1" applyBorder="1" applyAlignment="1" applyProtection="1">
      <alignment horizontal="center" vertical="center"/>
      <protection locked="0"/>
    </xf>
    <xf numFmtId="3" fontId="9" fillId="2" borderId="0" xfId="0" applyNumberFormat="1" applyFont="1" applyFill="1" applyAlignment="1">
      <alignment horizontal="center" vertical="center"/>
    </xf>
    <xf numFmtId="3" fontId="6" fillId="7" borderId="81" xfId="0" applyNumberFormat="1" applyFont="1" applyFill="1" applyBorder="1" applyAlignment="1">
      <alignment horizontal="center" vertical="center"/>
    </xf>
    <xf numFmtId="9" fontId="6" fillId="8" borderId="86" xfId="0" applyNumberFormat="1" applyFont="1" applyFill="1" applyBorder="1" applyAlignment="1">
      <alignment horizontal="center" vertical="center"/>
    </xf>
    <xf numFmtId="9" fontId="6" fillId="8" borderId="84" xfId="0" applyNumberFormat="1" applyFont="1" applyFill="1" applyBorder="1" applyAlignment="1">
      <alignment horizontal="center" vertical="center"/>
    </xf>
    <xf numFmtId="3" fontId="6" fillId="2" borderId="17" xfId="0" applyNumberFormat="1" applyFont="1" applyFill="1" applyBorder="1" applyAlignment="1">
      <alignment horizontal="center" vertical="center"/>
    </xf>
    <xf numFmtId="3" fontId="6" fillId="8" borderId="16" xfId="0" applyNumberFormat="1" applyFont="1" applyFill="1" applyBorder="1" applyAlignment="1">
      <alignment horizontal="center" vertical="center"/>
    </xf>
    <xf numFmtId="3" fontId="5" fillId="8" borderId="18" xfId="0" applyNumberFormat="1" applyFont="1" applyFill="1" applyBorder="1" applyAlignment="1">
      <alignment horizontal="center" vertical="center"/>
    </xf>
    <xf numFmtId="3" fontId="6" fillId="7" borderId="83" xfId="0" applyNumberFormat="1" applyFont="1" applyFill="1" applyBorder="1" applyAlignment="1">
      <alignment horizontal="center" vertical="center"/>
    </xf>
    <xf numFmtId="3" fontId="6" fillId="8" borderId="86" xfId="0" applyNumberFormat="1" applyFont="1" applyFill="1" applyBorder="1" applyAlignment="1">
      <alignment horizontal="center" vertical="center"/>
    </xf>
    <xf numFmtId="3" fontId="6" fillId="8" borderId="87" xfId="0" applyNumberFormat="1" applyFont="1" applyFill="1" applyBorder="1" applyAlignment="1">
      <alignment horizontal="center" vertical="center"/>
    </xf>
    <xf numFmtId="3" fontId="6" fillId="8" borderId="84" xfId="0" applyNumberFormat="1" applyFont="1" applyFill="1" applyBorder="1" applyAlignment="1">
      <alignment horizontal="center" vertical="center"/>
    </xf>
    <xf numFmtId="3" fontId="6" fillId="8" borderId="85" xfId="0" applyNumberFormat="1" applyFont="1" applyFill="1" applyBorder="1" applyAlignment="1">
      <alignment horizontal="center" vertical="center"/>
    </xf>
    <xf numFmtId="3" fontId="9" fillId="7" borderId="53" xfId="0" applyNumberFormat="1" applyFont="1" applyFill="1" applyBorder="1" applyAlignment="1">
      <alignment horizontal="center" vertical="center"/>
    </xf>
    <xf numFmtId="3" fontId="9" fillId="7" borderId="54" xfId="0" applyNumberFormat="1" applyFont="1" applyFill="1" applyBorder="1" applyAlignment="1">
      <alignment horizontal="center" vertical="center"/>
    </xf>
    <xf numFmtId="9" fontId="6" fillId="8" borderId="55" xfId="0" applyNumberFormat="1" applyFont="1" applyFill="1" applyBorder="1" applyAlignment="1">
      <alignment horizontal="center" vertical="center"/>
    </xf>
    <xf numFmtId="9" fontId="6" fillId="8" borderId="57" xfId="0" applyNumberFormat="1" applyFont="1" applyFill="1" applyBorder="1" applyAlignment="1">
      <alignment horizontal="center" vertical="center"/>
    </xf>
    <xf numFmtId="3" fontId="6" fillId="8" borderId="55" xfId="0" applyNumberFormat="1" applyFont="1" applyFill="1" applyBorder="1" applyAlignment="1">
      <alignment horizontal="center" vertical="center"/>
    </xf>
    <xf numFmtId="3" fontId="6" fillId="8" borderId="56" xfId="0" applyNumberFormat="1" applyFont="1" applyFill="1" applyBorder="1" applyAlignment="1">
      <alignment horizontal="center" vertical="center"/>
    </xf>
    <xf numFmtId="3" fontId="6" fillId="8" borderId="57" xfId="0" applyNumberFormat="1" applyFont="1" applyFill="1" applyBorder="1" applyAlignment="1">
      <alignment horizontal="center" vertical="center"/>
    </xf>
    <xf numFmtId="3" fontId="6" fillId="8" borderId="58" xfId="0" applyNumberFormat="1" applyFont="1" applyFill="1" applyBorder="1" applyAlignment="1">
      <alignment horizontal="center" vertical="center"/>
    </xf>
    <xf numFmtId="3" fontId="6" fillId="9" borderId="55" xfId="0" applyNumberFormat="1" applyFont="1" applyFill="1" applyBorder="1" applyAlignment="1">
      <alignment horizontal="center" vertical="center"/>
    </xf>
    <xf numFmtId="3" fontId="6" fillId="9" borderId="57" xfId="0" applyNumberFormat="1" applyFont="1" applyFill="1" applyBorder="1" applyAlignment="1">
      <alignment horizontal="center" vertical="center"/>
    </xf>
    <xf numFmtId="3" fontId="6" fillId="9" borderId="56" xfId="0" applyNumberFormat="1" applyFont="1" applyFill="1" applyBorder="1" applyAlignment="1">
      <alignment horizontal="center" vertical="center"/>
    </xf>
    <xf numFmtId="3" fontId="6" fillId="9" borderId="58" xfId="0" applyNumberFormat="1" applyFont="1" applyFill="1" applyBorder="1" applyAlignment="1">
      <alignment horizontal="center" vertical="center"/>
    </xf>
    <xf numFmtId="3" fontId="6" fillId="2" borderId="88" xfId="0" applyNumberFormat="1" applyFont="1" applyFill="1" applyBorder="1" applyAlignment="1">
      <alignment horizontal="center" vertical="center"/>
    </xf>
    <xf numFmtId="3" fontId="6" fillId="8" borderId="89" xfId="0" applyNumberFormat="1" applyFont="1" applyFill="1" applyBorder="1" applyAlignment="1">
      <alignment horizontal="center" vertical="center"/>
    </xf>
    <xf numFmtId="3" fontId="6" fillId="9" borderId="89" xfId="0" applyNumberFormat="1" applyFont="1" applyFill="1" applyBorder="1" applyAlignment="1">
      <alignment horizontal="center" vertical="center"/>
    </xf>
    <xf numFmtId="3" fontId="5" fillId="8" borderId="89" xfId="0" applyNumberFormat="1" applyFont="1" applyFill="1" applyBorder="1" applyAlignment="1">
      <alignment horizontal="center" vertical="center"/>
    </xf>
    <xf numFmtId="3" fontId="5" fillId="9" borderId="89" xfId="0" applyNumberFormat="1" applyFont="1" applyFill="1" applyBorder="1" applyAlignment="1">
      <alignment horizontal="center" vertical="center"/>
    </xf>
    <xf numFmtId="3" fontId="6" fillId="9" borderId="90" xfId="0" applyNumberFormat="1" applyFont="1" applyFill="1" applyBorder="1" applyAlignment="1">
      <alignment horizontal="center" vertical="center"/>
    </xf>
    <xf numFmtId="3" fontId="6" fillId="8" borderId="90" xfId="0" applyNumberFormat="1" applyFont="1" applyFill="1" applyBorder="1" applyAlignment="1">
      <alignment horizontal="center" vertical="center"/>
    </xf>
    <xf numFmtId="3" fontId="6" fillId="7" borderId="53" xfId="0" applyNumberFormat="1" applyFont="1" applyFill="1" applyBorder="1" applyAlignment="1">
      <alignment horizontal="center" vertical="center"/>
    </xf>
    <xf numFmtId="3" fontId="6" fillId="7" borderId="54" xfId="0" applyNumberFormat="1" applyFont="1" applyFill="1" applyBorder="1" applyAlignment="1">
      <alignment horizontal="center" vertical="center"/>
    </xf>
    <xf numFmtId="3" fontId="6" fillId="8" borderId="91" xfId="0" applyNumberFormat="1" applyFont="1" applyFill="1" applyBorder="1" applyAlignment="1">
      <alignment horizontal="center" vertical="center"/>
    </xf>
    <xf numFmtId="3" fontId="6" fillId="2" borderId="19" xfId="0" applyNumberFormat="1" applyFont="1" applyFill="1" applyBorder="1" applyAlignment="1">
      <alignment horizontal="center" vertical="center"/>
    </xf>
    <xf numFmtId="3" fontId="6" fillId="7" borderId="92" xfId="0" applyNumberFormat="1" applyFont="1" applyFill="1" applyBorder="1" applyAlignment="1">
      <alignment horizontal="center" vertical="center"/>
    </xf>
    <xf numFmtId="3" fontId="6" fillId="7" borderId="20" xfId="0" applyNumberFormat="1" applyFont="1" applyFill="1" applyBorder="1" applyAlignment="1">
      <alignment horizontal="center" vertical="center"/>
    </xf>
    <xf numFmtId="3" fontId="6" fillId="8" borderId="93" xfId="0" applyNumberFormat="1" applyFont="1" applyFill="1" applyBorder="1" applyAlignment="1">
      <alignment horizontal="center" vertical="center"/>
    </xf>
    <xf numFmtId="3" fontId="6" fillId="8" borderId="95" xfId="0" applyNumberFormat="1" applyFont="1" applyFill="1" applyBorder="1" applyAlignment="1">
      <alignment horizontal="center" vertical="center"/>
    </xf>
    <xf numFmtId="3" fontId="6" fillId="8" borderId="96" xfId="0" applyNumberFormat="1" applyFont="1" applyFill="1" applyBorder="1" applyAlignment="1">
      <alignment horizontal="center" vertical="center"/>
    </xf>
    <xf numFmtId="3" fontId="6" fillId="8" borderId="94" xfId="0" applyNumberFormat="1" applyFont="1" applyFill="1" applyBorder="1" applyAlignment="1">
      <alignment horizontal="center" vertical="center"/>
    </xf>
    <xf numFmtId="3" fontId="6" fillId="8" borderId="97" xfId="0" applyNumberFormat="1" applyFont="1" applyFill="1" applyBorder="1" applyAlignment="1">
      <alignment horizontal="center" vertical="center"/>
    </xf>
    <xf numFmtId="3" fontId="6" fillId="7" borderId="81" xfId="0" applyNumberFormat="1" applyFont="1" applyFill="1" applyBorder="1" applyAlignment="1">
      <alignment horizontal="left" vertical="center"/>
    </xf>
    <xf numFmtId="3" fontId="6" fillId="7" borderId="98" xfId="0" applyNumberFormat="1" applyFont="1" applyFill="1" applyBorder="1" applyAlignment="1">
      <alignment horizontal="left" vertical="center"/>
    </xf>
    <xf numFmtId="9" fontId="6" fillId="8" borderId="99" xfId="0" applyNumberFormat="1" applyFont="1" applyFill="1" applyBorder="1" applyAlignment="1">
      <alignment horizontal="center" vertical="center"/>
    </xf>
    <xf numFmtId="3" fontId="6" fillId="8" borderId="18" xfId="0" applyNumberFormat="1" applyFont="1" applyFill="1" applyBorder="1" applyAlignment="1">
      <alignment horizontal="center" vertical="center"/>
    </xf>
    <xf numFmtId="3" fontId="9" fillId="7" borderId="81" xfId="0" applyNumberFormat="1" applyFont="1" applyFill="1" applyBorder="1" applyAlignment="1">
      <alignment horizontal="center" vertical="center"/>
    </xf>
    <xf numFmtId="3" fontId="6" fillId="9" borderId="86" xfId="0" applyNumberFormat="1" applyFont="1" applyFill="1" applyBorder="1" applyAlignment="1">
      <alignment horizontal="center" vertical="center"/>
    </xf>
    <xf numFmtId="3" fontId="6" fillId="9" borderId="84" xfId="0" applyNumberFormat="1" applyFont="1" applyFill="1" applyBorder="1" applyAlignment="1">
      <alignment horizontal="center" vertical="center"/>
    </xf>
    <xf numFmtId="3" fontId="6" fillId="9" borderId="91" xfId="0" applyNumberFormat="1" applyFont="1" applyFill="1" applyBorder="1" applyAlignment="1">
      <alignment horizontal="center" vertical="center"/>
    </xf>
    <xf numFmtId="3" fontId="9" fillId="2" borderId="19" xfId="0" applyNumberFormat="1" applyFont="1" applyFill="1" applyBorder="1" applyAlignment="1">
      <alignment horizontal="center" vertical="center"/>
    </xf>
    <xf numFmtId="3" fontId="9" fillId="7" borderId="19" xfId="0" applyNumberFormat="1" applyFont="1" applyFill="1" applyBorder="1" applyAlignment="1">
      <alignment horizontal="center" vertical="center"/>
    </xf>
    <xf numFmtId="3" fontId="9" fillId="7" borderId="92" xfId="0" applyNumberFormat="1" applyFont="1" applyFill="1" applyBorder="1" applyAlignment="1">
      <alignment horizontal="center" vertical="center"/>
    </xf>
    <xf numFmtId="3" fontId="9" fillId="7" borderId="20" xfId="0" applyNumberFormat="1" applyFont="1" applyFill="1" applyBorder="1" applyAlignment="1">
      <alignment horizontal="center" vertical="center"/>
    </xf>
    <xf numFmtId="3" fontId="9" fillId="7" borderId="98" xfId="0" applyNumberFormat="1" applyFont="1" applyFill="1" applyBorder="1" applyAlignment="1">
      <alignment horizontal="center" vertical="center"/>
    </xf>
    <xf numFmtId="9" fontId="6" fillId="8" borderId="93" xfId="0" applyNumberFormat="1" applyFont="1" applyFill="1" applyBorder="1" applyAlignment="1">
      <alignment horizontal="center" vertical="center"/>
    </xf>
    <xf numFmtId="9" fontId="6" fillId="8" borderId="95" xfId="0" applyNumberFormat="1" applyFont="1" applyFill="1" applyBorder="1" applyAlignment="1">
      <alignment horizontal="center" vertical="center"/>
    </xf>
    <xf numFmtId="3" fontId="6" fillId="9" borderId="93" xfId="0" applyNumberFormat="1" applyFont="1" applyFill="1" applyBorder="1" applyAlignment="1">
      <alignment horizontal="center" vertical="center"/>
    </xf>
    <xf numFmtId="3" fontId="6" fillId="9" borderId="95" xfId="0" applyNumberFormat="1" applyFont="1" applyFill="1" applyBorder="1" applyAlignment="1">
      <alignment horizontal="center" vertical="center"/>
    </xf>
    <xf numFmtId="3" fontId="6" fillId="9" borderId="96" xfId="0" applyNumberFormat="1" applyFont="1" applyFill="1" applyBorder="1" applyAlignment="1">
      <alignment horizontal="center" vertical="center"/>
    </xf>
    <xf numFmtId="3" fontId="40" fillId="7" borderId="54" xfId="0" applyNumberFormat="1" applyFont="1" applyFill="1" applyBorder="1" applyAlignment="1">
      <alignment horizontal="center" vertical="center"/>
    </xf>
    <xf numFmtId="9" fontId="40" fillId="8" borderId="56" xfId="0" applyNumberFormat="1" applyFont="1" applyFill="1" applyBorder="1" applyAlignment="1">
      <alignment horizontal="center" vertical="center"/>
    </xf>
    <xf numFmtId="9" fontId="40" fillId="8" borderId="58" xfId="0" applyNumberFormat="1" applyFont="1" applyFill="1" applyBorder="1" applyAlignment="1">
      <alignment horizontal="center" vertical="center"/>
    </xf>
    <xf numFmtId="3" fontId="40" fillId="7" borderId="83" xfId="0" applyNumberFormat="1" applyFont="1" applyFill="1" applyBorder="1" applyAlignment="1">
      <alignment horizontal="center" vertical="center"/>
    </xf>
    <xf numFmtId="9" fontId="40" fillId="8" borderId="87" xfId="0" applyNumberFormat="1" applyFont="1" applyFill="1" applyBorder="1" applyAlignment="1">
      <alignment horizontal="center" vertical="center"/>
    </xf>
    <xf numFmtId="9" fontId="40" fillId="8" borderId="85" xfId="0" applyNumberFormat="1" applyFont="1" applyFill="1" applyBorder="1" applyAlignment="1">
      <alignment horizontal="center" vertical="center"/>
    </xf>
    <xf numFmtId="3" fontId="40" fillId="9" borderId="56" xfId="0" applyNumberFormat="1" applyFont="1" applyFill="1" applyBorder="1" applyAlignment="1">
      <alignment horizontal="center" vertical="center"/>
    </xf>
    <xf numFmtId="3" fontId="40" fillId="9" borderId="58" xfId="0" applyNumberFormat="1" applyFont="1" applyFill="1" applyBorder="1" applyAlignment="1">
      <alignment horizontal="center" vertical="center"/>
    </xf>
    <xf numFmtId="3" fontId="41" fillId="7" borderId="54" xfId="0" applyNumberFormat="1" applyFont="1" applyFill="1" applyBorder="1" applyAlignment="1">
      <alignment horizontal="center" vertical="center"/>
    </xf>
    <xf numFmtId="3" fontId="41" fillId="8" borderId="56" xfId="0" applyNumberFormat="1" applyFont="1" applyFill="1" applyBorder="1" applyAlignment="1">
      <alignment horizontal="center" vertical="center"/>
    </xf>
    <xf numFmtId="3" fontId="41" fillId="8" borderId="58" xfId="0" applyNumberFormat="1" applyFont="1" applyFill="1" applyBorder="1" applyAlignment="1">
      <alignment horizontal="center" vertical="center"/>
    </xf>
    <xf numFmtId="3" fontId="41" fillId="7" borderId="20" xfId="0" applyNumberFormat="1" applyFont="1" applyFill="1" applyBorder="1" applyAlignment="1">
      <alignment horizontal="center" vertical="center"/>
    </xf>
    <xf numFmtId="9" fontId="40" fillId="8" borderId="94" xfId="0" applyNumberFormat="1" applyFont="1" applyFill="1" applyBorder="1" applyAlignment="1">
      <alignment horizontal="center" vertical="center"/>
    </xf>
    <xf numFmtId="9" fontId="40" fillId="8" borderId="97" xfId="0" applyNumberFormat="1" applyFont="1" applyFill="1" applyBorder="1" applyAlignment="1">
      <alignment horizontal="center" vertical="center"/>
    </xf>
    <xf numFmtId="3" fontId="40" fillId="9" borderId="87" xfId="0" applyNumberFormat="1" applyFont="1" applyFill="1" applyBorder="1" applyAlignment="1">
      <alignment horizontal="center" vertical="center"/>
    </xf>
    <xf numFmtId="3" fontId="40" fillId="9" borderId="85" xfId="0" applyNumberFormat="1" applyFont="1" applyFill="1" applyBorder="1" applyAlignment="1">
      <alignment horizontal="center" vertical="center"/>
    </xf>
    <xf numFmtId="10" fontId="40" fillId="8" borderId="87" xfId="0" applyNumberFormat="1" applyFont="1" applyFill="1" applyBorder="1" applyAlignment="1">
      <alignment horizontal="center" vertical="center"/>
    </xf>
    <xf numFmtId="10" fontId="40" fillId="8" borderId="85" xfId="0" applyNumberFormat="1" applyFont="1" applyFill="1" applyBorder="1" applyAlignment="1">
      <alignment horizontal="center" vertical="center"/>
    </xf>
    <xf numFmtId="3" fontId="40" fillId="7" borderId="20" xfId="0" applyNumberFormat="1" applyFont="1" applyFill="1" applyBorder="1" applyAlignment="1">
      <alignment horizontal="center" vertical="center"/>
    </xf>
    <xf numFmtId="3" fontId="40" fillId="7" borderId="100" xfId="0" applyNumberFormat="1" applyFont="1" applyFill="1" applyBorder="1" applyAlignment="1">
      <alignment horizontal="center" vertical="center"/>
    </xf>
    <xf numFmtId="9" fontId="40" fillId="8" borderId="101" xfId="0" applyNumberFormat="1" applyFont="1" applyFill="1" applyBorder="1" applyAlignment="1">
      <alignment horizontal="center" vertical="center"/>
    </xf>
    <xf numFmtId="9" fontId="6" fillId="9" borderId="86" xfId="0" applyNumberFormat="1" applyFont="1" applyFill="1" applyBorder="1" applyAlignment="1">
      <alignment horizontal="center" vertical="center"/>
    </xf>
    <xf numFmtId="9" fontId="40" fillId="9" borderId="87" xfId="0" applyNumberFormat="1" applyFont="1" applyFill="1" applyBorder="1" applyAlignment="1">
      <alignment horizontal="center" vertical="center"/>
    </xf>
    <xf numFmtId="9" fontId="6" fillId="9" borderId="84" xfId="0" applyNumberFormat="1" applyFont="1" applyFill="1" applyBorder="1" applyAlignment="1">
      <alignment horizontal="center" vertical="center"/>
    </xf>
    <xf numFmtId="9" fontId="40" fillId="9" borderId="85" xfId="0" applyNumberFormat="1" applyFont="1" applyFill="1" applyBorder="1" applyAlignment="1">
      <alignment horizontal="center" vertical="center"/>
    </xf>
    <xf numFmtId="3" fontId="6" fillId="9" borderId="94" xfId="0" applyNumberFormat="1" applyFont="1" applyFill="1" applyBorder="1" applyAlignment="1">
      <alignment horizontal="center" vertical="center"/>
    </xf>
    <xf numFmtId="3" fontId="6" fillId="9" borderId="97" xfId="0" applyNumberFormat="1" applyFont="1" applyFill="1" applyBorder="1" applyAlignment="1">
      <alignment horizontal="center" vertical="center"/>
    </xf>
    <xf numFmtId="0" fontId="6" fillId="8" borderId="23" xfId="0" applyFont="1" applyFill="1" applyBorder="1" applyAlignment="1">
      <alignment horizontal="center" vertical="center"/>
    </xf>
    <xf numFmtId="3" fontId="6" fillId="7" borderId="102" xfId="0" applyNumberFormat="1" applyFont="1" applyFill="1" applyBorder="1" applyAlignment="1">
      <alignment horizontal="center" vertical="center"/>
    </xf>
    <xf numFmtId="3" fontId="9" fillId="7" borderId="103" xfId="0" applyNumberFormat="1" applyFont="1" applyFill="1" applyBorder="1" applyAlignment="1">
      <alignment horizontal="center" vertical="center"/>
    </xf>
    <xf numFmtId="10" fontId="6" fillId="8" borderId="104" xfId="0" applyNumberFormat="1" applyFont="1" applyFill="1" applyBorder="1" applyAlignment="1">
      <alignment horizontal="center" vertical="center"/>
    </xf>
    <xf numFmtId="10" fontId="40" fillId="8" borderId="105" xfId="0" applyNumberFormat="1" applyFont="1" applyFill="1" applyBorder="1" applyAlignment="1">
      <alignment horizontal="center" vertical="center"/>
    </xf>
    <xf numFmtId="9" fontId="6" fillId="8" borderId="104" xfId="0" applyNumberFormat="1" applyFont="1" applyFill="1" applyBorder="1" applyAlignment="1">
      <alignment horizontal="center" vertical="center"/>
    </xf>
    <xf numFmtId="9" fontId="6" fillId="8" borderId="106" xfId="0" applyNumberFormat="1" applyFont="1" applyFill="1" applyBorder="1" applyAlignment="1">
      <alignment horizontal="center" vertical="center"/>
    </xf>
    <xf numFmtId="10" fontId="40" fillId="8" borderId="107" xfId="0" applyNumberFormat="1" applyFont="1" applyFill="1" applyBorder="1" applyAlignment="1">
      <alignment horizontal="center" vertical="center"/>
    </xf>
    <xf numFmtId="3" fontId="9" fillId="7" borderId="102" xfId="0" applyNumberFormat="1" applyFont="1" applyFill="1" applyBorder="1" applyAlignment="1">
      <alignment horizontal="center" vertical="center"/>
    </xf>
    <xf numFmtId="10" fontId="6" fillId="8" borderId="106" xfId="0" applyNumberFormat="1" applyFont="1" applyFill="1" applyBorder="1" applyAlignment="1">
      <alignment horizontal="center" vertical="center"/>
    </xf>
    <xf numFmtId="3" fontId="38" fillId="8" borderId="104" xfId="0" applyNumberFormat="1" applyFont="1" applyFill="1" applyBorder="1" applyAlignment="1">
      <alignment horizontal="center" vertical="center"/>
    </xf>
    <xf numFmtId="3" fontId="6" fillId="8" borderId="104" xfId="0" applyNumberFormat="1" applyFont="1" applyFill="1" applyBorder="1" applyAlignment="1">
      <alignment horizontal="center" vertical="center"/>
    </xf>
    <xf numFmtId="3" fontId="40" fillId="7" borderId="103" xfId="0" applyNumberFormat="1" applyFont="1" applyFill="1" applyBorder="1" applyAlignment="1">
      <alignment horizontal="center" vertical="center"/>
    </xf>
    <xf numFmtId="10" fontId="6" fillId="9" borderId="104" xfId="0" applyNumberFormat="1" applyFont="1" applyFill="1" applyBorder="1" applyAlignment="1">
      <alignment horizontal="center" vertical="center"/>
    </xf>
    <xf numFmtId="10" fontId="40" fillId="9" borderId="105" xfId="0" applyNumberFormat="1" applyFont="1" applyFill="1" applyBorder="1" applyAlignment="1">
      <alignment horizontal="center" vertical="center"/>
    </xf>
    <xf numFmtId="10" fontId="6" fillId="9" borderId="106" xfId="0" applyNumberFormat="1" applyFont="1" applyFill="1" applyBorder="1" applyAlignment="1">
      <alignment horizontal="center" vertical="center"/>
    </xf>
    <xf numFmtId="10" fontId="40" fillId="9" borderId="107" xfId="0" applyNumberFormat="1" applyFont="1" applyFill="1" applyBorder="1" applyAlignment="1">
      <alignment horizontal="center" vertical="center"/>
    </xf>
    <xf numFmtId="3" fontId="6" fillId="8" borderId="23" xfId="0" applyNumberFormat="1" applyFont="1" applyFill="1" applyBorder="1" applyAlignment="1">
      <alignment horizontal="center" vertical="center"/>
    </xf>
    <xf numFmtId="0" fontId="13" fillId="7" borderId="102" xfId="1" applyFont="1" applyFill="1" applyBorder="1" applyAlignment="1">
      <alignment horizontal="center" vertical="center"/>
    </xf>
    <xf numFmtId="0" fontId="13" fillId="7" borderId="103" xfId="1" applyFont="1" applyFill="1" applyBorder="1" applyAlignment="1">
      <alignment horizontal="center" vertical="center"/>
    </xf>
    <xf numFmtId="10" fontId="16" fillId="8" borderId="108" xfId="1" applyNumberFormat="1" applyFill="1" applyBorder="1" applyAlignment="1">
      <alignment horizontal="center" vertical="center"/>
    </xf>
    <xf numFmtId="10" fontId="13" fillId="8" borderId="109" xfId="1" applyNumberFormat="1" applyFont="1" applyFill="1" applyBorder="1" applyAlignment="1">
      <alignment horizontal="center" vertical="center"/>
    </xf>
    <xf numFmtId="10" fontId="16" fillId="8" borderId="104" xfId="1" applyNumberFormat="1" applyFill="1" applyBorder="1" applyAlignment="1">
      <alignment horizontal="center" vertical="center"/>
    </xf>
    <xf numFmtId="10" fontId="39" fillId="8" borderId="105" xfId="1" applyNumberFormat="1" applyFont="1" applyFill="1" applyBorder="1" applyAlignment="1">
      <alignment horizontal="center" vertical="center"/>
    </xf>
    <xf numFmtId="10" fontId="16" fillId="8" borderId="106" xfId="1" applyNumberFormat="1" applyFill="1" applyBorder="1" applyAlignment="1">
      <alignment horizontal="center" vertical="center"/>
    </xf>
    <xf numFmtId="10" fontId="39" fillId="8" borderId="107" xfId="1" applyNumberFormat="1" applyFont="1" applyFill="1" applyBorder="1" applyAlignment="1">
      <alignment horizontal="center" vertical="center"/>
    </xf>
    <xf numFmtId="10" fontId="39" fillId="8" borderId="26" xfId="1" applyNumberFormat="1" applyFont="1" applyFill="1" applyBorder="1" applyAlignment="1">
      <alignment horizontal="center" vertical="center"/>
    </xf>
    <xf numFmtId="10" fontId="39" fillId="8" borderId="109" xfId="1" applyNumberFormat="1" applyFont="1" applyFill="1" applyBorder="1" applyAlignment="1">
      <alignment horizontal="center" vertical="center"/>
    </xf>
    <xf numFmtId="0" fontId="16" fillId="8" borderId="21" xfId="1" applyFill="1" applyBorder="1" applyAlignment="1">
      <alignment horizontal="center" vertical="center"/>
    </xf>
    <xf numFmtId="0" fontId="16" fillId="8" borderId="23" xfId="1" applyFill="1" applyBorder="1" applyAlignment="1">
      <alignment horizontal="center" vertical="center"/>
    </xf>
    <xf numFmtId="0" fontId="13" fillId="7" borderId="110" xfId="1" applyFont="1" applyFill="1" applyBorder="1" applyAlignment="1">
      <alignment horizontal="center" vertical="center"/>
    </xf>
    <xf numFmtId="10" fontId="16" fillId="8" borderId="111" xfId="1" applyNumberFormat="1" applyFill="1" applyBorder="1" applyAlignment="1">
      <alignment horizontal="center" vertical="center"/>
    </xf>
    <xf numFmtId="10" fontId="16" fillId="8" borderId="25" xfId="1" applyNumberFormat="1" applyFill="1" applyBorder="1" applyAlignment="1">
      <alignment horizontal="center" vertical="center"/>
    </xf>
    <xf numFmtId="0" fontId="16" fillId="8" borderId="108" xfId="1" applyFill="1" applyBorder="1" applyAlignment="1">
      <alignment horizontal="center" vertical="center"/>
    </xf>
    <xf numFmtId="0" fontId="13" fillId="8" borderId="109" xfId="1" applyFont="1" applyFill="1" applyBorder="1" applyAlignment="1">
      <alignment horizontal="center" vertical="center"/>
    </xf>
    <xf numFmtId="0" fontId="16" fillId="8" borderId="112" xfId="1" applyFill="1" applyBorder="1" applyAlignment="1">
      <alignment horizontal="center" vertical="center"/>
    </xf>
    <xf numFmtId="0" fontId="39" fillId="8" borderId="105" xfId="1" applyFont="1" applyFill="1" applyBorder="1" applyAlignment="1">
      <alignment horizontal="center" vertical="center"/>
    </xf>
    <xf numFmtId="0" fontId="16" fillId="8" borderId="106" xfId="1" applyFill="1" applyBorder="1" applyAlignment="1">
      <alignment horizontal="center" vertical="center"/>
    </xf>
    <xf numFmtId="0" fontId="39" fillId="8" borderId="107" xfId="1" applyFont="1" applyFill="1" applyBorder="1" applyAlignment="1">
      <alignment horizontal="center" vertical="center"/>
    </xf>
    <xf numFmtId="3" fontId="10" fillId="8" borderId="104" xfId="0" applyNumberFormat="1" applyFont="1" applyFill="1" applyBorder="1" applyAlignment="1">
      <alignment horizontal="center" vertical="center"/>
    </xf>
    <xf numFmtId="10" fontId="10" fillId="8" borderId="104" xfId="0" applyNumberFormat="1" applyFont="1" applyFill="1" applyBorder="1" applyAlignment="1">
      <alignment horizontal="center" vertical="center"/>
    </xf>
    <xf numFmtId="10" fontId="10" fillId="8" borderId="106" xfId="0" applyNumberFormat="1" applyFont="1" applyFill="1" applyBorder="1" applyAlignment="1">
      <alignment horizontal="center" vertical="center"/>
    </xf>
    <xf numFmtId="3" fontId="10" fillId="8" borderId="29" xfId="0" applyNumberFormat="1" applyFont="1" applyFill="1" applyBorder="1" applyAlignment="1">
      <alignment horizontal="center" vertical="center"/>
    </xf>
    <xf numFmtId="3" fontId="10" fillId="3" borderId="102" xfId="0" applyNumberFormat="1" applyFont="1" applyFill="1" applyBorder="1" applyAlignment="1">
      <alignment horizontal="center" vertical="center"/>
    </xf>
    <xf numFmtId="0" fontId="10" fillId="8" borderId="104" xfId="0" applyFont="1" applyFill="1" applyBorder="1" applyAlignment="1">
      <alignment horizontal="center" vertical="center"/>
    </xf>
    <xf numFmtId="0" fontId="40" fillId="8" borderId="105" xfId="0" applyFont="1" applyFill="1" applyBorder="1" applyAlignment="1">
      <alignment horizontal="center" vertical="center"/>
    </xf>
    <xf numFmtId="0" fontId="10" fillId="8" borderId="106" xfId="0" applyFont="1" applyFill="1" applyBorder="1" applyAlignment="1">
      <alignment horizontal="center" vertical="center"/>
    </xf>
    <xf numFmtId="0" fontId="40" fillId="8" borderId="107" xfId="0" applyFont="1" applyFill="1" applyBorder="1" applyAlignment="1">
      <alignment horizontal="center" vertical="center"/>
    </xf>
    <xf numFmtId="0" fontId="6" fillId="8" borderId="104" xfId="0" applyFont="1" applyFill="1" applyBorder="1" applyAlignment="1">
      <alignment horizontal="center" vertical="center"/>
    </xf>
    <xf numFmtId="0" fontId="6" fillId="8" borderId="106" xfId="0" applyFont="1" applyFill="1" applyBorder="1" applyAlignment="1">
      <alignment horizontal="center" vertical="center"/>
    </xf>
    <xf numFmtId="3" fontId="6" fillId="3" borderId="102" xfId="0" applyNumberFormat="1" applyFont="1" applyFill="1" applyBorder="1" applyAlignment="1">
      <alignment horizontal="center" vertical="center"/>
    </xf>
    <xf numFmtId="3" fontId="40" fillId="8" borderId="105" xfId="0" applyNumberFormat="1" applyFont="1" applyFill="1" applyBorder="1" applyAlignment="1">
      <alignment horizontal="center" vertical="center"/>
    </xf>
    <xf numFmtId="3" fontId="10" fillId="8" borderId="106" xfId="0" applyNumberFormat="1" applyFont="1" applyFill="1" applyBorder="1" applyAlignment="1">
      <alignment horizontal="center" vertical="center"/>
    </xf>
    <xf numFmtId="3" fontId="40" fillId="8" borderId="107" xfId="0" applyNumberFormat="1" applyFont="1" applyFill="1" applyBorder="1" applyAlignment="1">
      <alignment horizontal="center" vertical="center"/>
    </xf>
    <xf numFmtId="3" fontId="6" fillId="8" borderId="106" xfId="0" applyNumberFormat="1" applyFont="1" applyFill="1" applyBorder="1" applyAlignment="1">
      <alignment horizontal="center" vertical="center"/>
    </xf>
    <xf numFmtId="3" fontId="10" fillId="8" borderId="23" xfId="0" applyNumberFormat="1" applyFont="1" applyFill="1" applyBorder="1" applyAlignment="1">
      <alignment horizontal="center" vertical="center"/>
    </xf>
    <xf numFmtId="4" fontId="6" fillId="8" borderId="29" xfId="0" applyNumberFormat="1" applyFont="1" applyFill="1" applyBorder="1" applyAlignment="1">
      <alignment horizontal="center" vertical="center"/>
    </xf>
    <xf numFmtId="4" fontId="6" fillId="8" borderId="23" xfId="0" applyNumberFormat="1" applyFont="1" applyFill="1" applyBorder="1" applyAlignment="1">
      <alignment horizontal="center" vertical="center"/>
    </xf>
    <xf numFmtId="3" fontId="6" fillId="9" borderId="104" xfId="0" applyNumberFormat="1" applyFont="1" applyFill="1" applyBorder="1" applyAlignment="1">
      <alignment horizontal="center" vertical="center"/>
    </xf>
    <xf numFmtId="3" fontId="40" fillId="9" borderId="105" xfId="0" applyNumberFormat="1" applyFont="1" applyFill="1" applyBorder="1" applyAlignment="1">
      <alignment horizontal="center" vertical="center"/>
    </xf>
    <xf numFmtId="3" fontId="40" fillId="9" borderId="107" xfId="0" applyNumberFormat="1" applyFont="1" applyFill="1" applyBorder="1" applyAlignment="1">
      <alignment horizontal="center" vertical="center"/>
    </xf>
    <xf numFmtId="3" fontId="6" fillId="9" borderId="29" xfId="0" applyNumberFormat="1" applyFont="1" applyFill="1" applyBorder="1" applyAlignment="1">
      <alignment horizontal="center" vertical="center"/>
    </xf>
    <xf numFmtId="3" fontId="6" fillId="9" borderId="23" xfId="0" applyNumberFormat="1" applyFont="1" applyFill="1" applyBorder="1" applyAlignment="1">
      <alignment horizontal="center" vertical="center"/>
    </xf>
    <xf numFmtId="10" fontId="9" fillId="8" borderId="105" xfId="0" applyNumberFormat="1" applyFont="1" applyFill="1" applyBorder="1" applyAlignment="1">
      <alignment horizontal="center" vertical="center"/>
    </xf>
    <xf numFmtId="3" fontId="6" fillId="8" borderId="105" xfId="0" applyNumberFormat="1" applyFont="1" applyFill="1" applyBorder="1" applyAlignment="1">
      <alignment horizontal="center" vertical="center"/>
    </xf>
    <xf numFmtId="9" fontId="40" fillId="8" borderId="105" xfId="0" applyNumberFormat="1" applyFont="1" applyFill="1" applyBorder="1" applyAlignment="1">
      <alignment horizontal="center" vertical="center"/>
    </xf>
    <xf numFmtId="9" fontId="40" fillId="8" borderId="107" xfId="0" applyNumberFormat="1" applyFont="1" applyFill="1" applyBorder="1" applyAlignment="1">
      <alignment horizontal="center" vertical="center"/>
    </xf>
    <xf numFmtId="3" fontId="40" fillId="7" borderId="31" xfId="0" applyNumberFormat="1" applyFont="1" applyFill="1" applyBorder="1" applyAlignment="1">
      <alignment horizontal="center" vertical="center"/>
    </xf>
    <xf numFmtId="3" fontId="40" fillId="7" borderId="26" xfId="0" applyNumberFormat="1" applyFont="1" applyFill="1" applyBorder="1" applyAlignment="1">
      <alignment horizontal="center" vertical="center"/>
    </xf>
    <xf numFmtId="10" fontId="40" fillId="9" borderId="102" xfId="0" applyNumberFormat="1" applyFont="1" applyFill="1" applyBorder="1" applyAlignment="1">
      <alignment horizontal="center" vertical="center"/>
    </xf>
    <xf numFmtId="10" fontId="40" fillId="8" borderId="113" xfId="0" applyNumberFormat="1" applyFont="1" applyFill="1" applyBorder="1" applyAlignment="1">
      <alignment horizontal="center" vertical="center"/>
    </xf>
    <xf numFmtId="10" fontId="40" fillId="8" borderId="103" xfId="0" applyNumberFormat="1" applyFont="1" applyFill="1" applyBorder="1" applyAlignment="1">
      <alignment horizontal="center" vertical="center"/>
    </xf>
    <xf numFmtId="10" fontId="40" fillId="9" borderId="104" xfId="0" applyNumberFormat="1" applyFont="1" applyFill="1" applyBorder="1" applyAlignment="1">
      <alignment horizontal="center" vertical="center"/>
    </xf>
    <xf numFmtId="10" fontId="40" fillId="8" borderId="106" xfId="0" applyNumberFormat="1" applyFont="1" applyFill="1" applyBorder="1" applyAlignment="1">
      <alignment horizontal="center" vertical="center"/>
    </xf>
    <xf numFmtId="10" fontId="40" fillId="8" borderId="114" xfId="0" applyNumberFormat="1" applyFont="1" applyFill="1" applyBorder="1" applyAlignment="1">
      <alignment horizontal="center" vertical="center"/>
    </xf>
    <xf numFmtId="9" fontId="40" fillId="9" borderId="105" xfId="0" applyNumberFormat="1" applyFont="1" applyFill="1" applyBorder="1" applyAlignment="1">
      <alignment horizontal="center" vertical="center"/>
    </xf>
    <xf numFmtId="9" fontId="40" fillId="9" borderId="107" xfId="0" applyNumberFormat="1" applyFont="1" applyFill="1" applyBorder="1" applyAlignment="1">
      <alignment horizontal="center" vertical="center"/>
    </xf>
    <xf numFmtId="9" fontId="6" fillId="7" borderId="102" xfId="0" applyNumberFormat="1" applyFont="1" applyFill="1" applyBorder="1" applyAlignment="1">
      <alignment horizontal="center" vertical="center"/>
    </xf>
    <xf numFmtId="9" fontId="6" fillId="9" borderId="104" xfId="0" applyNumberFormat="1" applyFont="1" applyFill="1" applyBorder="1" applyAlignment="1">
      <alignment horizontal="center" vertical="center"/>
    </xf>
    <xf numFmtId="9" fontId="40" fillId="7" borderId="103" xfId="0" applyNumberFormat="1" applyFont="1" applyFill="1" applyBorder="1" applyAlignment="1">
      <alignment horizontal="center" vertical="center"/>
    </xf>
    <xf numFmtId="10" fontId="9" fillId="7" borderId="27" xfId="0" applyNumberFormat="1" applyFont="1" applyFill="1" applyBorder="1" applyAlignment="1">
      <alignment horizontal="center" vertical="center"/>
    </xf>
    <xf numFmtId="10" fontId="9" fillId="7" borderId="102" xfId="0" applyNumberFormat="1" applyFont="1" applyFill="1" applyBorder="1" applyAlignment="1">
      <alignment horizontal="center" vertical="center"/>
    </xf>
    <xf numFmtId="10" fontId="6" fillId="7" borderId="27" xfId="0" applyNumberFormat="1" applyFont="1" applyFill="1" applyBorder="1" applyAlignment="1">
      <alignment horizontal="center" vertical="center"/>
    </xf>
    <xf numFmtId="10" fontId="6" fillId="7" borderId="102" xfId="0" applyNumberFormat="1" applyFont="1" applyFill="1" applyBorder="1" applyAlignment="1">
      <alignment horizontal="center" vertical="center"/>
    </xf>
    <xf numFmtId="9" fontId="6" fillId="9" borderId="106" xfId="0" applyNumberFormat="1" applyFont="1" applyFill="1" applyBorder="1" applyAlignment="1">
      <alignment horizontal="center" vertical="center"/>
    </xf>
    <xf numFmtId="10" fontId="6" fillId="7" borderId="53" xfId="0" applyNumberFormat="1" applyFont="1" applyFill="1" applyBorder="1" applyAlignment="1">
      <alignment horizontal="center" vertical="center"/>
    </xf>
    <xf numFmtId="9" fontId="6" fillId="9" borderId="55" xfId="0" applyNumberFormat="1" applyFont="1" applyFill="1" applyBorder="1" applyAlignment="1">
      <alignment horizontal="center" vertical="center"/>
    </xf>
    <xf numFmtId="9" fontId="6" fillId="9" borderId="57" xfId="0" applyNumberFormat="1" applyFont="1" applyFill="1" applyBorder="1" applyAlignment="1">
      <alignment horizontal="center" vertical="center"/>
    </xf>
    <xf numFmtId="9" fontId="39" fillId="0" borderId="117" xfId="0" applyNumberFormat="1" applyFont="1" applyBorder="1" applyAlignment="1">
      <alignment horizontal="center" vertical="center"/>
    </xf>
    <xf numFmtId="0" fontId="39" fillId="0" borderId="121" xfId="0" applyFont="1" applyBorder="1" applyAlignment="1">
      <alignment horizontal="center" vertical="center"/>
    </xf>
    <xf numFmtId="0" fontId="39" fillId="0" borderId="122" xfId="0" applyFont="1" applyBorder="1" applyAlignment="1">
      <alignment horizontal="center" vertical="center"/>
    </xf>
    <xf numFmtId="9" fontId="39" fillId="0" borderId="122" xfId="0" applyNumberFormat="1" applyFont="1" applyBorder="1" applyAlignment="1">
      <alignment horizontal="center" vertical="center"/>
    </xf>
    <xf numFmtId="0" fontId="39" fillId="8" borderId="67" xfId="0" applyFont="1" applyFill="1" applyBorder="1" applyAlignment="1">
      <alignment horizontal="center" vertical="center"/>
    </xf>
    <xf numFmtId="0" fontId="39" fillId="8" borderId="68" xfId="0" applyFont="1" applyFill="1" applyBorder="1" applyAlignment="1">
      <alignment horizontal="center" vertical="center"/>
    </xf>
    <xf numFmtId="9" fontId="39" fillId="8" borderId="66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2" fillId="8" borderId="91" xfId="0" applyFont="1" applyFill="1" applyBorder="1" applyAlignment="1">
      <alignment horizontal="center" vertical="center"/>
    </xf>
    <xf numFmtId="0" fontId="43" fillId="8" borderId="91" xfId="0" applyFont="1" applyFill="1" applyBorder="1" applyAlignment="1">
      <alignment horizontal="center" vertical="center"/>
    </xf>
    <xf numFmtId="10" fontId="42" fillId="0" borderId="0" xfId="0" applyNumberFormat="1" applyFont="1" applyAlignment="1">
      <alignment horizontal="center" vertical="center"/>
    </xf>
    <xf numFmtId="9" fontId="42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42" fillId="8" borderId="32" xfId="0" applyFont="1" applyFill="1" applyBorder="1" applyAlignment="1">
      <alignment horizontal="center" vertical="center"/>
    </xf>
    <xf numFmtId="0" fontId="43" fillId="8" borderId="32" xfId="0" applyFont="1" applyFill="1" applyBorder="1" applyAlignment="1">
      <alignment horizontal="center" vertical="center"/>
    </xf>
    <xf numFmtId="0" fontId="43" fillId="8" borderId="93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4" fillId="0" borderId="0" xfId="0" applyFont="1" applyAlignment="1">
      <alignment horizontal="center" vertical="center"/>
    </xf>
    <xf numFmtId="0" fontId="32" fillId="8" borderId="91" xfId="0" applyFont="1" applyFill="1" applyBorder="1" applyAlignment="1">
      <alignment horizontal="center" vertical="center"/>
    </xf>
    <xf numFmtId="0" fontId="46" fillId="8" borderId="32" xfId="0" applyFont="1" applyFill="1" applyBorder="1" applyAlignment="1">
      <alignment horizontal="center" vertical="center"/>
    </xf>
    <xf numFmtId="0" fontId="47" fillId="8" borderId="91" xfId="0" applyFont="1" applyFill="1" applyBorder="1" applyAlignment="1">
      <alignment horizontal="center" vertical="center"/>
    </xf>
    <xf numFmtId="0" fontId="48" fillId="8" borderId="32" xfId="0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2" fillId="0" borderId="78" xfId="0" applyFont="1" applyBorder="1" applyAlignment="1">
      <alignment vertical="center"/>
    </xf>
    <xf numFmtId="0" fontId="2" fillId="0" borderId="138" xfId="0" applyFont="1" applyBorder="1" applyAlignment="1">
      <alignment horizontal="center" vertical="center"/>
    </xf>
    <xf numFmtId="0" fontId="44" fillId="7" borderId="145" xfId="0" applyFont="1" applyFill="1" applyBorder="1" applyAlignment="1">
      <alignment horizontal="center" vertical="center"/>
    </xf>
    <xf numFmtId="0" fontId="42" fillId="7" borderId="152" xfId="0" applyFont="1" applyFill="1" applyBorder="1" applyAlignment="1">
      <alignment horizontal="center" vertical="center"/>
    </xf>
    <xf numFmtId="0" fontId="43" fillId="7" borderId="152" xfId="0" applyFont="1" applyFill="1" applyBorder="1" applyAlignment="1">
      <alignment horizontal="center" vertical="center"/>
    </xf>
    <xf numFmtId="0" fontId="31" fillId="8" borderId="143" xfId="0" applyFont="1" applyFill="1" applyBorder="1" applyAlignment="1">
      <alignment horizontal="center" vertical="center"/>
    </xf>
    <xf numFmtId="0" fontId="44" fillId="8" borderId="153" xfId="0" applyFont="1" applyFill="1" applyBorder="1" applyAlignment="1">
      <alignment horizontal="center" vertical="center"/>
    </xf>
    <xf numFmtId="0" fontId="44" fillId="8" borderId="143" xfId="0" applyFont="1" applyFill="1" applyBorder="1" applyAlignment="1">
      <alignment horizontal="center" vertical="center"/>
    </xf>
    <xf numFmtId="0" fontId="44" fillId="8" borderId="148" xfId="0" applyFont="1" applyFill="1" applyBorder="1" applyAlignment="1">
      <alignment horizontal="center" vertical="center"/>
    </xf>
    <xf numFmtId="0" fontId="42" fillId="8" borderId="155" xfId="0" applyFont="1" applyFill="1" applyBorder="1" applyAlignment="1">
      <alignment horizontal="center" vertical="center"/>
    </xf>
    <xf numFmtId="0" fontId="43" fillId="8" borderId="155" xfId="0" applyFont="1" applyFill="1" applyBorder="1" applyAlignment="1">
      <alignment horizontal="center" vertical="center"/>
    </xf>
    <xf numFmtId="0" fontId="32" fillId="8" borderId="96" xfId="0" applyFont="1" applyFill="1" applyBorder="1" applyAlignment="1">
      <alignment horizontal="center" vertical="center"/>
    </xf>
    <xf numFmtId="0" fontId="42" fillId="8" borderId="92" xfId="0" applyFont="1" applyFill="1" applyBorder="1" applyAlignment="1">
      <alignment horizontal="center" vertical="center"/>
    </xf>
    <xf numFmtId="0" fontId="42" fillId="8" borderId="59" xfId="0" applyFont="1" applyFill="1" applyBorder="1" applyAlignment="1">
      <alignment horizontal="center" vertical="center"/>
    </xf>
    <xf numFmtId="0" fontId="24" fillId="11" borderId="0" xfId="0" applyFont="1" applyFill="1" applyAlignment="1">
      <alignment horizontal="center" vertical="center"/>
    </xf>
    <xf numFmtId="10" fontId="24" fillId="11" borderId="0" xfId="0" applyNumberFormat="1" applyFont="1" applyFill="1" applyAlignment="1">
      <alignment horizontal="center" vertical="center"/>
    </xf>
    <xf numFmtId="0" fontId="24" fillId="8" borderId="51" xfId="0" applyFont="1" applyFill="1" applyBorder="1" applyAlignment="1">
      <alignment horizontal="center" vertical="center"/>
    </xf>
    <xf numFmtId="0" fontId="24" fillId="8" borderId="29" xfId="0" applyFont="1" applyFill="1" applyBorder="1" applyAlignment="1">
      <alignment horizontal="center" vertical="center"/>
    </xf>
    <xf numFmtId="0" fontId="45" fillId="8" borderId="142" xfId="0" applyFont="1" applyFill="1" applyBorder="1" applyAlignment="1">
      <alignment horizontal="center" vertical="center"/>
    </xf>
    <xf numFmtId="0" fontId="44" fillId="8" borderId="142" xfId="0" applyFont="1" applyFill="1" applyBorder="1" applyAlignment="1">
      <alignment horizontal="center" vertical="center"/>
    </xf>
    <xf numFmtId="0" fontId="44" fillId="8" borderId="144" xfId="0" applyFont="1" applyFill="1" applyBorder="1" applyAlignment="1">
      <alignment horizontal="center" vertical="center"/>
    </xf>
    <xf numFmtId="0" fontId="42" fillId="8" borderId="60" xfId="0" applyFont="1" applyFill="1" applyBorder="1" applyAlignment="1">
      <alignment horizontal="center" vertical="center"/>
    </xf>
    <xf numFmtId="0" fontId="43" fillId="8" borderId="60" xfId="0" applyFont="1" applyFill="1" applyBorder="1" applyAlignment="1">
      <alignment horizontal="center" vertical="center"/>
    </xf>
    <xf numFmtId="0" fontId="6" fillId="8" borderId="91" xfId="0" applyFont="1" applyFill="1" applyBorder="1" applyAlignment="1">
      <alignment horizontal="center" vertical="center"/>
    </xf>
    <xf numFmtId="165" fontId="2" fillId="0" borderId="13" xfId="0" applyNumberFormat="1" applyFont="1" applyBorder="1" applyAlignment="1">
      <alignment horizontal="center" vertical="center"/>
    </xf>
    <xf numFmtId="166" fontId="2" fillId="0" borderId="13" xfId="0" applyNumberFormat="1" applyFont="1" applyBorder="1" applyAlignment="1">
      <alignment horizontal="center" vertical="center"/>
    </xf>
    <xf numFmtId="0" fontId="1" fillId="0" borderId="0" xfId="0" applyFont="1"/>
    <xf numFmtId="0" fontId="45" fillId="7" borderId="125" xfId="0" applyFont="1" applyFill="1" applyBorder="1" applyAlignment="1">
      <alignment horizontal="center" vertical="center"/>
    </xf>
    <xf numFmtId="0" fontId="46" fillId="7" borderId="123" xfId="0" applyFont="1" applyFill="1" applyBorder="1" applyAlignment="1">
      <alignment horizontal="center" vertical="center"/>
    </xf>
    <xf numFmtId="0" fontId="48" fillId="7" borderId="123" xfId="0" applyFont="1" applyFill="1" applyBorder="1" applyAlignment="1">
      <alignment horizontal="center" vertical="center"/>
    </xf>
    <xf numFmtId="0" fontId="6" fillId="8" borderId="92" xfId="0" applyFont="1" applyFill="1" applyBorder="1" applyAlignment="1">
      <alignment horizontal="center" vertical="center"/>
    </xf>
    <xf numFmtId="0" fontId="6" fillId="8" borderId="96" xfId="0" applyFont="1" applyFill="1" applyBorder="1" applyAlignment="1">
      <alignment horizontal="center" vertical="center"/>
    </xf>
    <xf numFmtId="0" fontId="41" fillId="7" borderId="59" xfId="0" applyFont="1" applyFill="1" applyBorder="1" applyAlignment="1">
      <alignment horizontal="center" vertical="center"/>
    </xf>
    <xf numFmtId="0" fontId="41" fillId="8" borderId="59" xfId="0" applyFont="1" applyFill="1" applyBorder="1" applyAlignment="1">
      <alignment horizontal="center" vertical="center"/>
    </xf>
    <xf numFmtId="0" fontId="6" fillId="8" borderId="32" xfId="0" applyFont="1" applyFill="1" applyBorder="1" applyAlignment="1">
      <alignment horizontal="center" vertical="center"/>
    </xf>
    <xf numFmtId="0" fontId="6" fillId="8" borderId="30" xfId="0" applyFont="1" applyFill="1" applyBorder="1" applyAlignment="1">
      <alignment horizontal="center" vertical="center"/>
    </xf>
    <xf numFmtId="0" fontId="40" fillId="7" borderId="19" xfId="0" applyFont="1" applyFill="1" applyBorder="1" applyAlignment="1">
      <alignment horizontal="center" vertical="center"/>
    </xf>
    <xf numFmtId="0" fontId="40" fillId="7" borderId="20" xfId="0" applyFont="1" applyFill="1" applyBorder="1" applyAlignment="1">
      <alignment horizontal="center" vertical="center"/>
    </xf>
    <xf numFmtId="0" fontId="40" fillId="7" borderId="145" xfId="0" applyFont="1" applyFill="1" applyBorder="1" applyAlignment="1">
      <alignment horizontal="center" vertical="center"/>
    </xf>
    <xf numFmtId="0" fontId="40" fillId="7" borderId="146" xfId="0" applyFont="1" applyFill="1" applyBorder="1" applyAlignment="1">
      <alignment horizontal="center" vertical="center"/>
    </xf>
    <xf numFmtId="165" fontId="40" fillId="7" borderId="146" xfId="0" applyNumberFormat="1" applyFont="1" applyFill="1" applyBorder="1" applyAlignment="1">
      <alignment horizontal="center" vertical="center"/>
    </xf>
    <xf numFmtId="9" fontId="40" fillId="7" borderId="17" xfId="0" applyNumberFormat="1" applyFont="1" applyFill="1" applyBorder="1" applyAlignment="1">
      <alignment horizontal="center" vertical="center"/>
    </xf>
    <xf numFmtId="0" fontId="40" fillId="7" borderId="145" xfId="0" applyFont="1" applyFill="1" applyBorder="1" applyAlignment="1">
      <alignment horizontal="left" vertical="center"/>
    </xf>
    <xf numFmtId="0" fontId="36" fillId="8" borderId="91" xfId="0" applyFont="1" applyFill="1" applyBorder="1" applyAlignment="1">
      <alignment horizontal="center" vertical="center"/>
    </xf>
    <xf numFmtId="0" fontId="6" fillId="10" borderId="94" xfId="0" applyFont="1" applyFill="1" applyBorder="1" applyAlignment="1">
      <alignment horizontal="center" vertical="center"/>
    </xf>
    <xf numFmtId="0" fontId="6" fillId="8" borderId="151" xfId="0" applyFont="1" applyFill="1" applyBorder="1" applyAlignment="1">
      <alignment horizontal="center" vertical="center"/>
    </xf>
    <xf numFmtId="0" fontId="6" fillId="8" borderId="143" xfId="0" applyFont="1" applyFill="1" applyBorder="1" applyAlignment="1">
      <alignment horizontal="center" vertical="center"/>
    </xf>
    <xf numFmtId="0" fontId="6" fillId="8" borderId="16" xfId="0" applyFont="1" applyFill="1" applyBorder="1" applyAlignment="1">
      <alignment horizontal="center" vertical="center"/>
    </xf>
    <xf numFmtId="166" fontId="6" fillId="8" borderId="156" xfId="0" applyNumberFormat="1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8" borderId="93" xfId="0" applyFont="1" applyFill="1" applyBorder="1" applyAlignment="1">
      <alignment horizontal="center" vertical="center"/>
    </xf>
    <xf numFmtId="166" fontId="6" fillId="8" borderId="143" xfId="0" applyNumberFormat="1" applyFont="1" applyFill="1" applyBorder="1" applyAlignment="1">
      <alignment horizontal="center" vertical="center"/>
    </xf>
    <xf numFmtId="0" fontId="6" fillId="8" borderId="94" xfId="0" applyFont="1" applyFill="1" applyBorder="1" applyAlignment="1">
      <alignment horizontal="center" vertical="center"/>
    </xf>
    <xf numFmtId="9" fontId="6" fillId="8" borderId="16" xfId="0" applyNumberFormat="1" applyFont="1" applyFill="1" applyBorder="1" applyAlignment="1">
      <alignment horizontal="center" vertical="center"/>
    </xf>
    <xf numFmtId="0" fontId="6" fillId="8" borderId="147" xfId="0" applyFont="1" applyFill="1" applyBorder="1" applyAlignment="1">
      <alignment horizontal="center" vertical="center"/>
    </xf>
    <xf numFmtId="9" fontId="6" fillId="0" borderId="0" xfId="0" applyNumberFormat="1" applyFont="1" applyAlignment="1">
      <alignment horizontal="center" vertical="center"/>
    </xf>
    <xf numFmtId="9" fontId="6" fillId="8" borderId="94" xfId="0" applyNumberFormat="1" applyFont="1" applyFill="1" applyBorder="1" applyAlignment="1">
      <alignment horizontal="center" vertical="center"/>
    </xf>
    <xf numFmtId="0" fontId="6" fillId="10" borderId="97" xfId="0" applyFont="1" applyFill="1" applyBorder="1" applyAlignment="1">
      <alignment horizontal="center" vertical="center"/>
    </xf>
    <xf numFmtId="0" fontId="6" fillId="8" borderId="150" xfId="0" applyFont="1" applyFill="1" applyBorder="1" applyAlignment="1">
      <alignment horizontal="center" vertical="center"/>
    </xf>
    <xf numFmtId="0" fontId="6" fillId="8" borderId="148" xfId="0" applyFont="1" applyFill="1" applyBorder="1" applyAlignment="1">
      <alignment horizontal="center" vertical="center"/>
    </xf>
    <xf numFmtId="9" fontId="6" fillId="8" borderId="18" xfId="0" applyNumberFormat="1" applyFont="1" applyFill="1" applyBorder="1" applyAlignment="1">
      <alignment horizontal="center" vertical="center"/>
    </xf>
    <xf numFmtId="166" fontId="6" fillId="8" borderId="148" xfId="0" applyNumberFormat="1" applyFont="1" applyFill="1" applyBorder="1" applyAlignment="1">
      <alignment horizontal="center" vertical="center"/>
    </xf>
    <xf numFmtId="9" fontId="6" fillId="8" borderId="97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165" fontId="51" fillId="0" borderId="0" xfId="0" applyNumberFormat="1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9" fontId="40" fillId="7" borderId="81" xfId="0" applyNumberFormat="1" applyFont="1" applyFill="1" applyBorder="1" applyAlignment="1">
      <alignment horizontal="center" vertical="center"/>
    </xf>
    <xf numFmtId="9" fontId="40" fillId="7" borderId="83" xfId="0" applyNumberFormat="1" applyFont="1" applyFill="1" applyBorder="1" applyAlignment="1">
      <alignment horizontal="center" vertical="center"/>
    </xf>
    <xf numFmtId="10" fontId="40" fillId="0" borderId="0" xfId="0" applyNumberFormat="1" applyFont="1" applyAlignment="1">
      <alignment horizontal="center" vertical="center"/>
    </xf>
    <xf numFmtId="0" fontId="52" fillId="8" borderId="91" xfId="0" applyFont="1" applyFill="1" applyBorder="1" applyAlignment="1">
      <alignment horizontal="center" vertical="center"/>
    </xf>
    <xf numFmtId="166" fontId="6" fillId="8" borderId="86" xfId="0" applyNumberFormat="1" applyFont="1" applyFill="1" applyBorder="1" applyAlignment="1">
      <alignment horizontal="center" vertical="center"/>
    </xf>
    <xf numFmtId="10" fontId="9" fillId="0" borderId="0" xfId="0" applyNumberFormat="1" applyFont="1" applyAlignment="1">
      <alignment horizontal="center" vertical="center"/>
    </xf>
    <xf numFmtId="0" fontId="6" fillId="10" borderId="20" xfId="0" applyFont="1" applyFill="1" applyBorder="1" applyAlignment="1">
      <alignment horizontal="center" vertical="center"/>
    </xf>
    <xf numFmtId="2" fontId="6" fillId="8" borderId="148" xfId="0" applyNumberFormat="1" applyFont="1" applyFill="1" applyBorder="1" applyAlignment="1">
      <alignment horizontal="center" vertical="center"/>
    </xf>
    <xf numFmtId="0" fontId="6" fillId="8" borderId="95" xfId="0" applyFont="1" applyFill="1" applyBorder="1" applyAlignment="1">
      <alignment horizontal="center" vertical="center"/>
    </xf>
    <xf numFmtId="166" fontId="6" fillId="8" borderId="84" xfId="0" applyNumberFormat="1" applyFont="1" applyFill="1" applyBorder="1" applyAlignment="1">
      <alignment horizontal="center" vertical="center"/>
    </xf>
    <xf numFmtId="0" fontId="41" fillId="7" borderId="28" xfId="0" applyFont="1" applyFill="1" applyBorder="1" applyAlignment="1">
      <alignment horizontal="center" vertical="center"/>
    </xf>
    <xf numFmtId="0" fontId="41" fillId="7" borderId="27" xfId="0" applyFont="1" applyFill="1" applyBorder="1" applyAlignment="1">
      <alignment horizontal="center" vertical="center"/>
    </xf>
    <xf numFmtId="0" fontId="41" fillId="7" borderId="125" xfId="0" applyFont="1" applyFill="1" applyBorder="1" applyAlignment="1">
      <alignment horizontal="center" vertical="center"/>
    </xf>
    <xf numFmtId="0" fontId="41" fillId="7" borderId="124" xfId="0" applyFont="1" applyFill="1" applyBorder="1" applyAlignment="1">
      <alignment horizontal="center" vertical="center"/>
    </xf>
    <xf numFmtId="165" fontId="41" fillId="7" borderId="124" xfId="0" applyNumberFormat="1" applyFont="1" applyFill="1" applyBorder="1" applyAlignment="1">
      <alignment horizontal="center" vertical="center"/>
    </xf>
    <xf numFmtId="9" fontId="41" fillId="7" borderId="21" xfId="0" applyNumberFormat="1" applyFont="1" applyFill="1" applyBorder="1" applyAlignment="1">
      <alignment horizontal="center" vertical="center"/>
    </xf>
    <xf numFmtId="9" fontId="41" fillId="7" borderId="102" xfId="0" applyNumberFormat="1" applyFont="1" applyFill="1" applyBorder="1" applyAlignment="1">
      <alignment horizontal="center" vertical="center"/>
    </xf>
    <xf numFmtId="0" fontId="41" fillId="7" borderId="103" xfId="0" applyFont="1" applyFill="1" applyBorder="1" applyAlignment="1">
      <alignment horizontal="center" vertical="center"/>
    </xf>
    <xf numFmtId="10" fontId="41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6" fillId="10" borderId="29" xfId="0" applyFont="1" applyFill="1" applyBorder="1" applyAlignment="1">
      <alignment horizontal="center" vertical="center"/>
    </xf>
    <xf numFmtId="0" fontId="41" fillId="8" borderId="32" xfId="0" applyFont="1" applyFill="1" applyBorder="1" applyAlignment="1">
      <alignment horizontal="center" vertical="center"/>
    </xf>
    <xf numFmtId="0" fontId="41" fillId="8" borderId="142" xfId="0" applyFont="1" applyFill="1" applyBorder="1" applyAlignment="1">
      <alignment horizontal="center" vertical="center"/>
    </xf>
    <xf numFmtId="0" fontId="41" fillId="8" borderId="51" xfId="0" applyFont="1" applyFill="1" applyBorder="1" applyAlignment="1">
      <alignment horizontal="center" vertical="center"/>
    </xf>
    <xf numFmtId="0" fontId="41" fillId="8" borderId="70" xfId="0" applyFont="1" applyFill="1" applyBorder="1" applyAlignment="1">
      <alignment horizontal="center" vertical="center"/>
    </xf>
    <xf numFmtId="166" fontId="41" fillId="8" borderId="104" xfId="0" applyNumberFormat="1" applyFont="1" applyFill="1" applyBorder="1" applyAlignment="1">
      <alignment horizontal="center" vertical="center"/>
    </xf>
    <xf numFmtId="0" fontId="6" fillId="10" borderId="27" xfId="0" applyFont="1" applyFill="1" applyBorder="1" applyAlignment="1">
      <alignment horizontal="center" vertical="center"/>
    </xf>
    <xf numFmtId="0" fontId="6" fillId="8" borderId="142" xfId="0" applyFont="1" applyFill="1" applyBorder="1" applyAlignment="1">
      <alignment horizontal="center" vertical="center"/>
    </xf>
    <xf numFmtId="0" fontId="6" fillId="8" borderId="51" xfId="0" applyFont="1" applyFill="1" applyBorder="1" applyAlignment="1">
      <alignment horizontal="center" vertical="center"/>
    </xf>
    <xf numFmtId="9" fontId="6" fillId="8" borderId="70" xfId="0" applyNumberFormat="1" applyFont="1" applyFill="1" applyBorder="1" applyAlignment="1">
      <alignment horizontal="center" vertical="center"/>
    </xf>
    <xf numFmtId="166" fontId="6" fillId="8" borderId="104" xfId="0" applyNumberFormat="1" applyFont="1" applyFill="1" applyBorder="1" applyAlignment="1">
      <alignment horizontal="center" vertical="center"/>
    </xf>
    <xf numFmtId="0" fontId="6" fillId="10" borderId="23" xfId="0" applyFont="1" applyFill="1" applyBorder="1" applyAlignment="1">
      <alignment horizontal="center" vertical="center"/>
    </xf>
    <xf numFmtId="0" fontId="6" fillId="8" borderId="60" xfId="0" applyFont="1" applyFill="1" applyBorder="1" applyAlignment="1">
      <alignment horizontal="center" vertical="center"/>
    </xf>
    <xf numFmtId="0" fontId="6" fillId="8" borderId="144" xfId="0" applyFont="1" applyFill="1" applyBorder="1" applyAlignment="1">
      <alignment horizontal="center" vertical="center"/>
    </xf>
    <xf numFmtId="0" fontId="6" fillId="8" borderId="24" xfId="0" applyFont="1" applyFill="1" applyBorder="1" applyAlignment="1">
      <alignment horizontal="center" vertical="center"/>
    </xf>
    <xf numFmtId="9" fontId="6" fillId="8" borderId="22" xfId="0" applyNumberFormat="1" applyFont="1" applyFill="1" applyBorder="1" applyAlignment="1">
      <alignment horizontal="center" vertical="center"/>
    </xf>
    <xf numFmtId="9" fontId="6" fillId="8" borderId="23" xfId="0" applyNumberFormat="1" applyFont="1" applyFill="1" applyBorder="1" applyAlignment="1">
      <alignment horizontal="center" vertical="center"/>
    </xf>
    <xf numFmtId="0" fontId="6" fillId="10" borderId="31" xfId="0" applyFont="1" applyFill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165" fontId="52" fillId="0" borderId="0" xfId="0" applyNumberFormat="1" applyFont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0" fontId="40" fillId="0" borderId="92" xfId="0" applyFont="1" applyBorder="1" applyAlignment="1">
      <alignment horizontal="center" vertical="center"/>
    </xf>
    <xf numFmtId="0" fontId="40" fillId="11" borderId="92" xfId="0" applyFont="1" applyFill="1" applyBorder="1" applyAlignment="1">
      <alignment horizontal="center" vertical="center"/>
    </xf>
    <xf numFmtId="166" fontId="40" fillId="7" borderId="160" xfId="0" applyNumberFormat="1" applyFont="1" applyFill="1" applyBorder="1" applyAlignment="1">
      <alignment horizontal="center" vertical="center"/>
    </xf>
    <xf numFmtId="1" fontId="6" fillId="8" borderId="19" xfId="0" applyNumberFormat="1" applyFont="1" applyFill="1" applyBorder="1" applyAlignment="1">
      <alignment horizontal="center" vertical="center"/>
    </xf>
    <xf numFmtId="1" fontId="6" fillId="8" borderId="93" xfId="0" applyNumberFormat="1" applyFont="1" applyFill="1" applyBorder="1" applyAlignment="1">
      <alignment horizontal="center" vertical="center"/>
    </xf>
    <xf numFmtId="1" fontId="6" fillId="8" borderId="95" xfId="0" applyNumberFormat="1" applyFont="1" applyFill="1" applyBorder="1" applyAlignment="1">
      <alignment horizontal="center" vertical="center"/>
    </xf>
    <xf numFmtId="0" fontId="40" fillId="8" borderId="83" xfId="0" applyFont="1" applyFill="1" applyBorder="1" applyAlignment="1">
      <alignment horizontal="center" vertical="center"/>
    </xf>
    <xf numFmtId="9" fontId="6" fillId="8" borderId="98" xfId="0" applyNumberFormat="1" applyFont="1" applyFill="1" applyBorder="1" applyAlignment="1">
      <alignment horizontal="center" vertical="center"/>
    </xf>
    <xf numFmtId="1" fontId="6" fillId="8" borderId="98" xfId="0" applyNumberFormat="1" applyFont="1" applyFill="1" applyBorder="1" applyAlignment="1">
      <alignment horizontal="center" vertical="center"/>
    </xf>
    <xf numFmtId="1" fontId="6" fillId="8" borderId="86" xfId="0" applyNumberFormat="1" applyFont="1" applyFill="1" applyBorder="1" applyAlignment="1">
      <alignment horizontal="center" vertical="center"/>
    </xf>
    <xf numFmtId="1" fontId="6" fillId="8" borderId="84" xfId="0" applyNumberFormat="1" applyFont="1" applyFill="1" applyBorder="1" applyAlignment="1">
      <alignment horizontal="center" vertical="center"/>
    </xf>
    <xf numFmtId="0" fontId="53" fillId="8" borderId="93" xfId="0" applyFont="1" applyFill="1" applyBorder="1" applyAlignment="1">
      <alignment horizontal="center" vertical="center"/>
    </xf>
    <xf numFmtId="0" fontId="53" fillId="8" borderId="147" xfId="0" applyFont="1" applyFill="1" applyBorder="1" applyAlignment="1">
      <alignment horizontal="center" vertical="center"/>
    </xf>
    <xf numFmtId="0" fontId="53" fillId="8" borderId="153" xfId="0" applyFont="1" applyFill="1" applyBorder="1" applyAlignment="1">
      <alignment horizontal="center" vertical="center"/>
    </xf>
    <xf numFmtId="0" fontId="53" fillId="8" borderId="32" xfId="0" applyFont="1" applyFill="1" applyBorder="1" applyAlignment="1">
      <alignment horizontal="center" vertical="center"/>
    </xf>
    <xf numFmtId="0" fontId="53" fillId="8" borderId="143" xfId="0" applyFont="1" applyFill="1" applyBorder="1" applyAlignment="1">
      <alignment horizontal="center" vertical="center"/>
    </xf>
    <xf numFmtId="0" fontId="53" fillId="8" borderId="16" xfId="0" applyFont="1" applyFill="1" applyBorder="1" applyAlignment="1">
      <alignment horizontal="center" vertical="center"/>
    </xf>
    <xf numFmtId="0" fontId="53" fillId="8" borderId="94" xfId="0" applyFont="1" applyFill="1" applyBorder="1" applyAlignment="1">
      <alignment horizontal="center" vertical="center"/>
    </xf>
    <xf numFmtId="0" fontId="53" fillId="8" borderId="86" xfId="0" applyFont="1" applyFill="1" applyBorder="1" applyAlignment="1">
      <alignment horizontal="center" vertical="center"/>
    </xf>
    <xf numFmtId="0" fontId="53" fillId="8" borderId="91" xfId="0" applyFont="1" applyFill="1" applyBorder="1" applyAlignment="1">
      <alignment horizontal="center" vertical="center"/>
    </xf>
    <xf numFmtId="0" fontId="40" fillId="11" borderId="83" xfId="0" applyFont="1" applyFill="1" applyBorder="1" applyAlignment="1">
      <alignment horizontal="center" vertical="center"/>
    </xf>
    <xf numFmtId="0" fontId="40" fillId="11" borderId="81" xfId="0" applyFont="1" applyFill="1" applyBorder="1" applyAlignment="1">
      <alignment horizontal="center" vertical="center"/>
    </xf>
    <xf numFmtId="0" fontId="40" fillId="11" borderId="19" xfId="0" applyFont="1" applyFill="1" applyBorder="1" applyAlignment="1">
      <alignment horizontal="center" vertical="center"/>
    </xf>
    <xf numFmtId="1" fontId="40" fillId="12" borderId="161" xfId="0" applyNumberFormat="1" applyFont="1" applyFill="1" applyBorder="1" applyAlignment="1">
      <alignment horizontal="center" vertical="center"/>
    </xf>
    <xf numFmtId="0" fontId="53" fillId="12" borderId="162" xfId="0" applyFont="1" applyFill="1" applyBorder="1" applyAlignment="1">
      <alignment horizontal="center" vertical="center"/>
    </xf>
    <xf numFmtId="1" fontId="40" fillId="12" borderId="162" xfId="0" applyNumberFormat="1" applyFont="1" applyFill="1" applyBorder="1" applyAlignment="1">
      <alignment horizontal="center" vertical="center"/>
    </xf>
    <xf numFmtId="1" fontId="40" fillId="12" borderId="163" xfId="0" applyNumberFormat="1" applyFont="1" applyFill="1" applyBorder="1" applyAlignment="1">
      <alignment horizontal="center" vertical="center"/>
    </xf>
    <xf numFmtId="166" fontId="40" fillId="12" borderId="100" xfId="0" applyNumberFormat="1" applyFont="1" applyFill="1" applyBorder="1" applyAlignment="1">
      <alignment horizontal="center" vertical="center"/>
    </xf>
    <xf numFmtId="0" fontId="53" fillId="12" borderId="87" xfId="0" applyFont="1" applyFill="1" applyBorder="1" applyAlignment="1">
      <alignment horizontal="center" vertical="center"/>
    </xf>
    <xf numFmtId="166" fontId="40" fillId="12" borderId="87" xfId="0" applyNumberFormat="1" applyFont="1" applyFill="1" applyBorder="1" applyAlignment="1">
      <alignment horizontal="center" vertical="center"/>
    </xf>
    <xf numFmtId="166" fontId="40" fillId="12" borderId="85" xfId="0" applyNumberFormat="1" applyFont="1" applyFill="1" applyBorder="1" applyAlignment="1">
      <alignment horizontal="center" vertical="center"/>
    </xf>
    <xf numFmtId="166" fontId="40" fillId="12" borderId="20" xfId="0" applyNumberFormat="1" applyFont="1" applyFill="1" applyBorder="1" applyAlignment="1">
      <alignment horizontal="center" vertical="center"/>
    </xf>
    <xf numFmtId="0" fontId="53" fillId="12" borderId="94" xfId="0" applyFont="1" applyFill="1" applyBorder="1" applyAlignment="1">
      <alignment horizontal="center" vertical="center"/>
    </xf>
    <xf numFmtId="166" fontId="40" fillId="12" borderId="94" xfId="0" applyNumberFormat="1" applyFont="1" applyFill="1" applyBorder="1" applyAlignment="1">
      <alignment horizontal="center" vertical="center"/>
    </xf>
    <xf numFmtId="0" fontId="40" fillId="12" borderId="147" xfId="0" applyFont="1" applyFill="1" applyBorder="1" applyAlignment="1">
      <alignment horizontal="center" vertical="center"/>
    </xf>
    <xf numFmtId="0" fontId="53" fillId="12" borderId="147" xfId="0" applyFont="1" applyFill="1" applyBorder="1" applyAlignment="1">
      <alignment horizontal="center" vertical="center"/>
    </xf>
    <xf numFmtId="0" fontId="40" fillId="12" borderId="149" xfId="0" applyFont="1" applyFill="1" applyBorder="1" applyAlignment="1">
      <alignment horizontal="center" vertical="center"/>
    </xf>
    <xf numFmtId="0" fontId="53" fillId="12" borderId="154" xfId="0" applyFont="1" applyFill="1" applyBorder="1" applyAlignment="1">
      <alignment horizontal="center" vertical="center"/>
    </xf>
    <xf numFmtId="165" fontId="40" fillId="12" borderId="147" xfId="0" applyNumberFormat="1" applyFont="1" applyFill="1" applyBorder="1" applyAlignment="1">
      <alignment horizontal="center" vertical="center"/>
    </xf>
    <xf numFmtId="0" fontId="40" fillId="7" borderId="103" xfId="0" applyFont="1" applyFill="1" applyBorder="1" applyAlignment="1">
      <alignment horizontal="center" vertical="center"/>
    </xf>
    <xf numFmtId="0" fontId="6" fillId="8" borderId="20" xfId="0" applyFont="1" applyFill="1" applyBorder="1" applyAlignment="1">
      <alignment horizontal="center" vertical="center"/>
    </xf>
    <xf numFmtId="0" fontId="6" fillId="8" borderId="97" xfId="0" applyFont="1" applyFill="1" applyBorder="1" applyAlignment="1">
      <alignment horizontal="center" vertical="center"/>
    </xf>
    <xf numFmtId="9" fontId="40" fillId="8" borderId="81" xfId="0" applyNumberFormat="1" applyFont="1" applyFill="1" applyBorder="1" applyAlignment="1">
      <alignment horizontal="center" vertical="center"/>
    </xf>
    <xf numFmtId="0" fontId="40" fillId="0" borderId="19" xfId="0" applyFont="1" applyBorder="1" applyAlignment="1">
      <alignment horizontal="center" vertical="center"/>
    </xf>
    <xf numFmtId="0" fontId="6" fillId="8" borderId="19" xfId="0" applyFont="1" applyFill="1" applyBorder="1" applyAlignment="1">
      <alignment horizontal="center" vertical="center"/>
    </xf>
    <xf numFmtId="0" fontId="40" fillId="8" borderId="81" xfId="0" applyFont="1" applyFill="1" applyBorder="1" applyAlignment="1">
      <alignment horizontal="center" vertical="center"/>
    </xf>
    <xf numFmtId="0" fontId="6" fillId="8" borderId="98" xfId="0" applyFont="1" applyFill="1" applyBorder="1" applyAlignment="1">
      <alignment horizontal="center" vertical="center"/>
    </xf>
    <xf numFmtId="0" fontId="6" fillId="8" borderId="86" xfId="0" applyFont="1" applyFill="1" applyBorder="1" applyAlignment="1">
      <alignment horizontal="center" vertical="center"/>
    </xf>
    <xf numFmtId="0" fontId="6" fillId="8" borderId="84" xfId="0" applyFont="1" applyFill="1" applyBorder="1" applyAlignment="1">
      <alignment horizontal="center" vertical="center"/>
    </xf>
    <xf numFmtId="0" fontId="40" fillId="12" borderId="83" xfId="0" applyFont="1" applyFill="1" applyBorder="1" applyAlignment="1">
      <alignment horizontal="center" vertical="center"/>
    </xf>
    <xf numFmtId="0" fontId="40" fillId="12" borderId="161" xfId="0" applyFont="1" applyFill="1" applyBorder="1" applyAlignment="1">
      <alignment horizontal="center" vertical="center"/>
    </xf>
    <xf numFmtId="0" fontId="40" fillId="12" borderId="162" xfId="0" applyFont="1" applyFill="1" applyBorder="1" applyAlignment="1">
      <alignment horizontal="center" vertical="center"/>
    </xf>
    <xf numFmtId="0" fontId="40" fillId="12" borderId="163" xfId="0" applyFont="1" applyFill="1" applyBorder="1" applyAlignment="1">
      <alignment horizontal="center" vertical="center"/>
    </xf>
    <xf numFmtId="9" fontId="40" fillId="12" borderId="100" xfId="0" applyNumberFormat="1" applyFont="1" applyFill="1" applyBorder="1" applyAlignment="1">
      <alignment horizontal="center" vertical="center"/>
    </xf>
    <xf numFmtId="9" fontId="40" fillId="12" borderId="87" xfId="0" applyNumberFormat="1" applyFont="1" applyFill="1" applyBorder="1" applyAlignment="1">
      <alignment horizontal="center" vertical="center"/>
    </xf>
    <xf numFmtId="0" fontId="40" fillId="12" borderId="94" xfId="0" applyFont="1" applyFill="1" applyBorder="1" applyAlignment="1">
      <alignment horizontal="center" vertical="center"/>
    </xf>
    <xf numFmtId="9" fontId="41" fillId="8" borderId="108" xfId="0" applyNumberFormat="1" applyFont="1" applyFill="1" applyBorder="1" applyAlignment="1">
      <alignment horizontal="center" vertical="center"/>
    </xf>
    <xf numFmtId="0" fontId="41" fillId="7" borderId="102" xfId="0" applyFont="1" applyFill="1" applyBorder="1" applyAlignment="1">
      <alignment horizontal="center" vertical="center"/>
    </xf>
    <xf numFmtId="0" fontId="41" fillId="8" borderId="108" xfId="0" applyFont="1" applyFill="1" applyBorder="1" applyAlignment="1">
      <alignment horizontal="center" vertical="center"/>
    </xf>
    <xf numFmtId="0" fontId="41" fillId="8" borderId="28" xfId="0" applyFont="1" applyFill="1" applyBorder="1" applyAlignment="1">
      <alignment horizontal="center" vertical="center"/>
    </xf>
    <xf numFmtId="0" fontId="40" fillId="12" borderId="159" xfId="0" applyFont="1" applyFill="1" applyBorder="1" applyAlignment="1">
      <alignment horizontal="center" vertical="center"/>
    </xf>
    <xf numFmtId="0" fontId="40" fillId="12" borderId="105" xfId="0" applyFont="1" applyFill="1" applyBorder="1" applyAlignment="1">
      <alignment horizontal="center" vertical="center"/>
    </xf>
    <xf numFmtId="9" fontId="40" fillId="12" borderId="159" xfId="0" applyNumberFormat="1" applyFont="1" applyFill="1" applyBorder="1" applyAlignment="1">
      <alignment horizontal="center" vertical="center"/>
    </xf>
    <xf numFmtId="9" fontId="40" fillId="12" borderId="105" xfId="0" applyNumberFormat="1" applyFont="1" applyFill="1" applyBorder="1" applyAlignment="1">
      <alignment horizontal="center" vertical="center"/>
    </xf>
    <xf numFmtId="166" fontId="40" fillId="12" borderId="159" xfId="0" applyNumberFormat="1" applyFont="1" applyFill="1" applyBorder="1" applyAlignment="1">
      <alignment horizontal="center" vertical="center"/>
    </xf>
    <xf numFmtId="166" fontId="40" fillId="12" borderId="105" xfId="0" applyNumberFormat="1" applyFont="1" applyFill="1" applyBorder="1" applyAlignment="1">
      <alignment horizontal="center" vertical="center"/>
    </xf>
    <xf numFmtId="166" fontId="40" fillId="12" borderId="107" xfId="0" applyNumberFormat="1" applyFont="1" applyFill="1" applyBorder="1" applyAlignment="1">
      <alignment horizontal="center" vertical="center"/>
    </xf>
    <xf numFmtId="0" fontId="41" fillId="12" borderId="69" xfId="0" applyFont="1" applyFill="1" applyBorder="1" applyAlignment="1">
      <alignment horizontal="center" vertical="center"/>
    </xf>
    <xf numFmtId="0" fontId="9" fillId="12" borderId="69" xfId="0" applyFont="1" applyFill="1" applyBorder="1" applyAlignment="1">
      <alignment horizontal="center" vertical="center"/>
    </xf>
    <xf numFmtId="0" fontId="40" fillId="12" borderId="29" xfId="0" applyFont="1" applyFill="1" applyBorder="1" applyAlignment="1">
      <alignment horizontal="center" vertical="center"/>
    </xf>
    <xf numFmtId="0" fontId="40" fillId="12" borderId="69" xfId="0" applyFont="1" applyFill="1" applyBorder="1" applyAlignment="1">
      <alignment horizontal="center" vertical="center"/>
    </xf>
    <xf numFmtId="165" fontId="40" fillId="12" borderId="69" xfId="0" applyNumberFormat="1" applyFont="1" applyFill="1" applyBorder="1" applyAlignment="1">
      <alignment horizontal="center" vertical="center"/>
    </xf>
    <xf numFmtId="0" fontId="40" fillId="12" borderId="61" xfId="0" applyFont="1" applyFill="1" applyBorder="1" applyAlignment="1">
      <alignment horizontal="center" vertical="center"/>
    </xf>
    <xf numFmtId="0" fontId="9" fillId="10" borderId="164" xfId="0" applyFont="1" applyFill="1" applyBorder="1" applyAlignment="1">
      <alignment horizontal="center" vertical="center"/>
    </xf>
    <xf numFmtId="0" fontId="41" fillId="7" borderId="26" xfId="0" applyFont="1" applyFill="1" applyBorder="1" applyAlignment="1">
      <alignment horizontal="center" vertical="center"/>
    </xf>
    <xf numFmtId="0" fontId="6" fillId="10" borderId="164" xfId="0" applyFont="1" applyFill="1" applyBorder="1" applyAlignment="1">
      <alignment horizontal="center" vertical="center"/>
    </xf>
    <xf numFmtId="0" fontId="3" fillId="0" borderId="10" xfId="0" applyFont="1" applyBorder="1" applyAlignment="1" applyProtection="1">
      <alignment horizontal="center" vertical="center"/>
      <protection locked="0"/>
    </xf>
    <xf numFmtId="0" fontId="0" fillId="0" borderId="29" xfId="0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9" borderId="32" xfId="0" applyFill="1" applyBorder="1" applyAlignment="1">
      <alignment horizontal="center" vertical="center"/>
    </xf>
    <xf numFmtId="0" fontId="0" fillId="8" borderId="51" xfId="0" applyFill="1" applyBorder="1" applyAlignment="1">
      <alignment horizontal="center" vertical="center"/>
    </xf>
    <xf numFmtId="0" fontId="35" fillId="7" borderId="125" xfId="0" applyFont="1" applyFill="1" applyBorder="1" applyAlignment="1">
      <alignment horizontal="center" vertical="center"/>
    </xf>
    <xf numFmtId="0" fontId="35" fillId="7" borderId="124" xfId="0" applyFont="1" applyFill="1" applyBorder="1" applyAlignment="1">
      <alignment horizontal="center" vertical="center"/>
    </xf>
    <xf numFmtId="0" fontId="35" fillId="7" borderId="125" xfId="0" applyFont="1" applyFill="1" applyBorder="1" applyAlignment="1">
      <alignment horizontal="center" vertical="center" wrapText="1"/>
    </xf>
    <xf numFmtId="0" fontId="35" fillId="7" borderId="124" xfId="0" applyFont="1" applyFill="1" applyBorder="1" applyAlignment="1">
      <alignment horizontal="center" vertical="center" wrapText="1"/>
    </xf>
    <xf numFmtId="0" fontId="0" fillId="8" borderId="142" xfId="0" applyFill="1" applyBorder="1" applyAlignment="1">
      <alignment horizontal="center" vertical="center"/>
    </xf>
    <xf numFmtId="0" fontId="24" fillId="8" borderId="142" xfId="0" applyFont="1" applyFill="1" applyBorder="1" applyAlignment="1">
      <alignment horizontal="center" vertical="center"/>
    </xf>
    <xf numFmtId="0" fontId="24" fillId="8" borderId="167" xfId="0" applyFont="1" applyFill="1" applyBorder="1" applyAlignment="1">
      <alignment horizontal="center" vertical="center"/>
    </xf>
    <xf numFmtId="10" fontId="24" fillId="8" borderId="70" xfId="0" applyNumberFormat="1" applyFont="1" applyFill="1" applyBorder="1" applyAlignment="1">
      <alignment horizontal="center" vertical="center"/>
    </xf>
    <xf numFmtId="10" fontId="24" fillId="8" borderId="167" xfId="0" applyNumberFormat="1" applyFont="1" applyFill="1" applyBorder="1" applyAlignment="1">
      <alignment horizontal="center" vertical="center"/>
    </xf>
    <xf numFmtId="10" fontId="24" fillId="8" borderId="144" xfId="0" applyNumberFormat="1" applyFont="1" applyFill="1" applyBorder="1" applyAlignment="1">
      <alignment horizontal="center" vertical="center"/>
    </xf>
    <xf numFmtId="10" fontId="24" fillId="8" borderId="61" xfId="0" applyNumberFormat="1" applyFont="1" applyFill="1" applyBorder="1" applyAlignment="1">
      <alignment horizontal="center" vertical="center"/>
    </xf>
    <xf numFmtId="0" fontId="24" fillId="8" borderId="144" xfId="0" applyFont="1" applyFill="1" applyBorder="1" applyAlignment="1">
      <alignment horizontal="center" vertical="center"/>
    </xf>
    <xf numFmtId="0" fontId="24" fillId="8" borderId="61" xfId="0" applyFont="1" applyFill="1" applyBorder="1" applyAlignment="1">
      <alignment horizontal="center" vertical="center"/>
    </xf>
    <xf numFmtId="0" fontId="24" fillId="8" borderId="60" xfId="0" applyFont="1" applyFill="1" applyBorder="1" applyAlignment="1">
      <alignment horizontal="center" vertical="center"/>
    </xf>
    <xf numFmtId="0" fontId="24" fillId="8" borderId="168" xfId="0" applyFont="1" applyFill="1" applyBorder="1" applyAlignment="1">
      <alignment horizontal="center" vertical="center"/>
    </xf>
    <xf numFmtId="10" fontId="24" fillId="8" borderId="168" xfId="0" applyNumberFormat="1" applyFont="1" applyFill="1" applyBorder="1" applyAlignment="1">
      <alignment horizontal="center" vertical="center"/>
    </xf>
    <xf numFmtId="10" fontId="35" fillId="11" borderId="125" xfId="0" applyNumberFormat="1" applyFont="1" applyFill="1" applyBorder="1" applyAlignment="1">
      <alignment horizontal="center" vertical="center"/>
    </xf>
    <xf numFmtId="10" fontId="35" fillId="11" borderId="124" xfId="0" applyNumberFormat="1" applyFont="1" applyFill="1" applyBorder="1" applyAlignment="1">
      <alignment horizontal="center" vertical="center"/>
    </xf>
    <xf numFmtId="0" fontId="35" fillId="11" borderId="125" xfId="0" applyFont="1" applyFill="1" applyBorder="1" applyAlignment="1">
      <alignment horizontal="center" vertical="center"/>
    </xf>
    <xf numFmtId="0" fontId="35" fillId="11" borderId="124" xfId="0" applyFont="1" applyFill="1" applyBorder="1" applyAlignment="1">
      <alignment horizontal="center" vertical="center"/>
    </xf>
    <xf numFmtId="0" fontId="35" fillId="11" borderId="123" xfId="0" applyFont="1" applyFill="1" applyBorder="1" applyAlignment="1">
      <alignment horizontal="center" vertical="center"/>
    </xf>
    <xf numFmtId="0" fontId="35" fillId="11" borderId="166" xfId="0" applyFont="1" applyFill="1" applyBorder="1" applyAlignment="1">
      <alignment horizontal="center" vertical="center"/>
    </xf>
    <xf numFmtId="10" fontId="35" fillId="11" borderId="166" xfId="0" applyNumberFormat="1" applyFont="1" applyFill="1" applyBorder="1" applyAlignment="1">
      <alignment horizontal="center" vertical="center"/>
    </xf>
    <xf numFmtId="166" fontId="24" fillId="9" borderId="142" xfId="0" applyNumberFormat="1" applyFont="1" applyFill="1" applyBorder="1" applyAlignment="1">
      <alignment horizontal="center" vertical="center"/>
    </xf>
    <xf numFmtId="166" fontId="24" fillId="9" borderId="69" xfId="0" applyNumberFormat="1" applyFont="1" applyFill="1" applyBorder="1" applyAlignment="1">
      <alignment horizontal="center" vertical="center"/>
    </xf>
    <xf numFmtId="166" fontId="24" fillId="8" borderId="142" xfId="0" applyNumberFormat="1" applyFont="1" applyFill="1" applyBorder="1" applyAlignment="1">
      <alignment horizontal="center" vertical="center"/>
    </xf>
    <xf numFmtId="166" fontId="24" fillId="8" borderId="69" xfId="0" applyNumberFormat="1" applyFont="1" applyFill="1" applyBorder="1" applyAlignment="1">
      <alignment horizontal="center" vertical="center"/>
    </xf>
    <xf numFmtId="166" fontId="24" fillId="9" borderId="144" xfId="0" applyNumberFormat="1" applyFont="1" applyFill="1" applyBorder="1" applyAlignment="1">
      <alignment horizontal="center" vertical="center"/>
    </xf>
    <xf numFmtId="166" fontId="24" fillId="9" borderId="61" xfId="0" applyNumberFormat="1" applyFont="1" applyFill="1" applyBorder="1" applyAlignment="1">
      <alignment horizontal="center" vertical="center"/>
    </xf>
    <xf numFmtId="166" fontId="24" fillId="8" borderId="144" xfId="0" applyNumberFormat="1" applyFont="1" applyFill="1" applyBorder="1" applyAlignment="1">
      <alignment horizontal="center" vertical="center"/>
    </xf>
    <xf numFmtId="166" fontId="24" fillId="8" borderId="61" xfId="0" applyNumberFormat="1" applyFont="1" applyFill="1" applyBorder="1" applyAlignment="1">
      <alignment horizontal="center" vertical="center"/>
    </xf>
    <xf numFmtId="166" fontId="24" fillId="8" borderId="29" xfId="0" applyNumberFormat="1" applyFont="1" applyFill="1" applyBorder="1" applyAlignment="1">
      <alignment horizontal="center" vertical="center"/>
    </xf>
    <xf numFmtId="0" fontId="35" fillId="7" borderId="165" xfId="0" applyFont="1" applyFill="1" applyBorder="1" applyAlignment="1">
      <alignment horizontal="center" vertical="center"/>
    </xf>
    <xf numFmtId="0" fontId="35" fillId="7" borderId="166" xfId="0" applyFont="1" applyFill="1" applyBorder="1" applyAlignment="1">
      <alignment horizontal="center" vertical="center" wrapText="1"/>
    </xf>
    <xf numFmtId="166" fontId="24" fillId="8" borderId="167" xfId="0" applyNumberFormat="1" applyFont="1" applyFill="1" applyBorder="1" applyAlignment="1">
      <alignment horizontal="center" vertical="center"/>
    </xf>
    <xf numFmtId="165" fontId="24" fillId="0" borderId="0" xfId="0" applyNumberFormat="1" applyFont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2" fontId="6" fillId="8" borderId="51" xfId="0" applyNumberFormat="1" applyFont="1" applyFill="1" applyBorder="1" applyAlignment="1">
      <alignment horizontal="center" vertical="center"/>
    </xf>
    <xf numFmtId="165" fontId="0" fillId="8" borderId="142" xfId="0" applyNumberFormat="1" applyFill="1" applyBorder="1" applyAlignment="1">
      <alignment horizontal="center" vertical="center"/>
    </xf>
    <xf numFmtId="165" fontId="39" fillId="12" borderId="69" xfId="0" applyNumberFormat="1" applyFont="1" applyFill="1" applyBorder="1" applyAlignment="1">
      <alignment horizontal="center" vertical="center"/>
    </xf>
    <xf numFmtId="165" fontId="39" fillId="12" borderId="32" xfId="0" applyNumberFormat="1" applyFont="1" applyFill="1" applyBorder="1" applyAlignment="1">
      <alignment horizontal="center" vertical="center"/>
    </xf>
    <xf numFmtId="165" fontId="39" fillId="8" borderId="60" xfId="0" applyNumberFormat="1" applyFont="1" applyFill="1" applyBorder="1" applyAlignment="1">
      <alignment horizontal="center" vertical="center"/>
    </xf>
    <xf numFmtId="165" fontId="39" fillId="8" borderId="61" xfId="0" applyNumberFormat="1" applyFont="1" applyFill="1" applyBorder="1" applyAlignment="1">
      <alignment horizontal="center" vertical="center"/>
    </xf>
    <xf numFmtId="0" fontId="0" fillId="8" borderId="35" xfId="0" applyFill="1" applyBorder="1" applyAlignment="1">
      <alignment horizontal="center" vertical="center"/>
    </xf>
    <xf numFmtId="0" fontId="39" fillId="12" borderId="69" xfId="0" applyFont="1" applyFill="1" applyBorder="1" applyAlignment="1">
      <alignment horizontal="center" vertical="center"/>
    </xf>
    <xf numFmtId="0" fontId="53" fillId="8" borderId="51" xfId="0" applyFont="1" applyFill="1" applyBorder="1" applyAlignment="1">
      <alignment horizontal="center" vertical="center"/>
    </xf>
    <xf numFmtId="0" fontId="53" fillId="8" borderId="142" xfId="0" applyFont="1" applyFill="1" applyBorder="1" applyAlignment="1">
      <alignment horizontal="center" vertical="center"/>
    </xf>
    <xf numFmtId="0" fontId="53" fillId="8" borderId="71" xfId="0" applyFont="1" applyFill="1" applyBorder="1" applyAlignment="1">
      <alignment horizontal="center" vertical="center"/>
    </xf>
    <xf numFmtId="0" fontId="53" fillId="0" borderId="0" xfId="0" applyFont="1"/>
    <xf numFmtId="165" fontId="0" fillId="8" borderId="32" xfId="0" applyNumberFormat="1" applyFill="1" applyBorder="1" applyAlignment="1">
      <alignment horizontal="center" vertical="center"/>
    </xf>
    <xf numFmtId="2" fontId="39" fillId="12" borderId="69" xfId="0" applyNumberFormat="1" applyFont="1" applyFill="1" applyBorder="1" applyAlignment="1">
      <alignment horizontal="center" vertical="center"/>
    </xf>
    <xf numFmtId="0" fontId="0" fillId="10" borderId="27" xfId="0" applyFill="1" applyBorder="1" applyAlignment="1">
      <alignment horizontal="center" vertical="center"/>
    </xf>
    <xf numFmtId="0" fontId="53" fillId="8" borderId="70" xfId="0" applyFont="1" applyFill="1" applyBorder="1" applyAlignment="1">
      <alignment horizontal="center" vertical="center"/>
    </xf>
    <xf numFmtId="165" fontId="39" fillId="12" borderId="70" xfId="0" applyNumberFormat="1" applyFont="1" applyFill="1" applyBorder="1" applyAlignment="1">
      <alignment horizontal="center" vertical="center"/>
    </xf>
    <xf numFmtId="2" fontId="39" fillId="12" borderId="32" xfId="0" applyNumberFormat="1" applyFont="1" applyFill="1" applyBorder="1" applyAlignment="1">
      <alignment horizontal="center" vertical="center"/>
    </xf>
    <xf numFmtId="0" fontId="0" fillId="8" borderId="70" xfId="0" applyFill="1" applyBorder="1" applyAlignment="1">
      <alignment horizontal="center" vertical="center"/>
    </xf>
    <xf numFmtId="9" fontId="0" fillId="8" borderId="32" xfId="0" applyNumberFormat="1" applyFill="1" applyBorder="1" applyAlignment="1">
      <alignment horizontal="center" vertical="center"/>
    </xf>
    <xf numFmtId="166" fontId="24" fillId="9" borderId="126" xfId="0" applyNumberFormat="1" applyFont="1" applyFill="1" applyBorder="1" applyAlignment="1">
      <alignment horizontal="center" vertical="center"/>
    </xf>
    <xf numFmtId="166" fontId="24" fillId="9" borderId="67" xfId="0" applyNumberFormat="1" applyFont="1" applyFill="1" applyBorder="1" applyAlignment="1">
      <alignment horizontal="center" vertical="center"/>
    </xf>
    <xf numFmtId="0" fontId="35" fillId="7" borderId="33" xfId="0" applyFont="1" applyFill="1" applyBorder="1" applyAlignment="1">
      <alignment horizontal="center" vertical="center"/>
    </xf>
    <xf numFmtId="0" fontId="24" fillId="8" borderId="35" xfId="0" applyFont="1" applyFill="1" applyBorder="1" applyAlignment="1">
      <alignment horizontal="center" vertical="center"/>
    </xf>
    <xf numFmtId="0" fontId="24" fillId="8" borderId="64" xfId="0" applyFont="1" applyFill="1" applyBorder="1" applyAlignment="1">
      <alignment horizontal="center" vertical="center"/>
    </xf>
    <xf numFmtId="166" fontId="24" fillId="8" borderId="168" xfId="0" applyNumberFormat="1" applyFont="1" applyFill="1" applyBorder="1" applyAlignment="1">
      <alignment horizontal="center" vertical="center"/>
    </xf>
    <xf numFmtId="0" fontId="24" fillId="8" borderId="125" xfId="0" applyFont="1" applyFill="1" applyBorder="1" applyAlignment="1">
      <alignment horizontal="center" vertical="center"/>
    </xf>
    <xf numFmtId="166" fontId="24" fillId="9" borderId="125" xfId="0" applyNumberFormat="1" applyFont="1" applyFill="1" applyBorder="1" applyAlignment="1">
      <alignment horizontal="center" vertical="center"/>
    </xf>
    <xf numFmtId="166" fontId="24" fillId="9" borderId="124" xfId="0" applyNumberFormat="1" applyFont="1" applyFill="1" applyBorder="1" applyAlignment="1">
      <alignment horizontal="center" vertical="center"/>
    </xf>
    <xf numFmtId="166" fontId="24" fillId="8" borderId="125" xfId="0" applyNumberFormat="1" applyFont="1" applyFill="1" applyBorder="1" applyAlignment="1">
      <alignment horizontal="center" vertical="center"/>
    </xf>
    <xf numFmtId="166" fontId="24" fillId="8" borderId="124" xfId="0" applyNumberFormat="1" applyFont="1" applyFill="1" applyBorder="1" applyAlignment="1">
      <alignment horizontal="center" vertical="center"/>
    </xf>
    <xf numFmtId="166" fontId="24" fillId="8" borderId="166" xfId="0" applyNumberFormat="1" applyFont="1" applyFill="1" applyBorder="1" applyAlignment="1">
      <alignment horizontal="center" vertical="center"/>
    </xf>
    <xf numFmtId="0" fontId="24" fillId="8" borderId="126" xfId="0" applyFont="1" applyFill="1" applyBorder="1" applyAlignment="1">
      <alignment horizontal="center" vertical="center"/>
    </xf>
    <xf numFmtId="0" fontId="24" fillId="8" borderId="50" xfId="0" applyFont="1" applyFill="1" applyBorder="1" applyAlignment="1">
      <alignment horizontal="center" vertical="center"/>
    </xf>
    <xf numFmtId="166" fontId="24" fillId="9" borderId="50" xfId="0" applyNumberFormat="1" applyFont="1" applyFill="1" applyBorder="1" applyAlignment="1">
      <alignment horizontal="center" vertical="center"/>
    </xf>
    <xf numFmtId="166" fontId="24" fillId="8" borderId="36" xfId="0" applyNumberFormat="1" applyFont="1" applyFill="1" applyBorder="1" applyAlignment="1">
      <alignment horizontal="center" vertical="center"/>
    </xf>
    <xf numFmtId="166" fontId="24" fillId="8" borderId="50" xfId="0" applyNumberFormat="1" applyFont="1" applyFill="1" applyBorder="1" applyAlignment="1">
      <alignment horizontal="center" vertical="center"/>
    </xf>
    <xf numFmtId="0" fontId="24" fillId="9" borderId="50" xfId="0" applyFont="1" applyFill="1" applyBorder="1" applyAlignment="1">
      <alignment horizontal="center" vertical="center"/>
    </xf>
    <xf numFmtId="0" fontId="24" fillId="8" borderId="174" xfId="0" applyFont="1" applyFill="1" applyBorder="1" applyAlignment="1">
      <alignment horizontal="center" vertical="center"/>
    </xf>
    <xf numFmtId="0" fontId="53" fillId="8" borderId="29" xfId="0" applyFont="1" applyFill="1" applyBorder="1" applyAlignment="1">
      <alignment horizontal="center" vertical="center"/>
    </xf>
    <xf numFmtId="165" fontId="54" fillId="8" borderId="32" xfId="0" applyNumberFormat="1" applyFont="1" applyFill="1" applyBorder="1" applyAlignment="1">
      <alignment horizontal="center" vertical="center"/>
    </xf>
    <xf numFmtId="0" fontId="54" fillId="8" borderId="142" xfId="0" applyFont="1" applyFill="1" applyBorder="1" applyAlignment="1">
      <alignment horizontal="center" vertical="center"/>
    </xf>
    <xf numFmtId="0" fontId="54" fillId="8" borderId="144" xfId="0" applyFont="1" applyFill="1" applyBorder="1" applyAlignment="1">
      <alignment horizontal="center" vertical="center"/>
    </xf>
    <xf numFmtId="165" fontId="39" fillId="8" borderId="32" xfId="0" applyNumberFormat="1" applyFont="1" applyFill="1" applyBorder="1" applyAlignment="1">
      <alignment horizontal="center" vertical="center"/>
    </xf>
    <xf numFmtId="0" fontId="39" fillId="12" borderId="0" xfId="0" applyFont="1" applyFill="1"/>
    <xf numFmtId="165" fontId="39" fillId="8" borderId="69" xfId="0" applyNumberFormat="1" applyFont="1" applyFill="1" applyBorder="1" applyAlignment="1">
      <alignment horizontal="center" vertical="center"/>
    </xf>
    <xf numFmtId="0" fontId="39" fillId="8" borderId="142" xfId="0" applyFont="1" applyFill="1" applyBorder="1" applyAlignment="1">
      <alignment horizontal="center" vertical="center"/>
    </xf>
    <xf numFmtId="0" fontId="56" fillId="8" borderId="142" xfId="0" applyFont="1" applyFill="1" applyBorder="1" applyAlignment="1">
      <alignment horizontal="center" vertical="center"/>
    </xf>
    <xf numFmtId="0" fontId="39" fillId="8" borderId="144" xfId="0" applyFont="1" applyFill="1" applyBorder="1" applyAlignment="1">
      <alignment horizontal="center" vertical="center"/>
    </xf>
    <xf numFmtId="0" fontId="39" fillId="0" borderId="0" xfId="0" applyFont="1"/>
    <xf numFmtId="2" fontId="39" fillId="8" borderId="69" xfId="0" applyNumberFormat="1" applyFont="1" applyFill="1" applyBorder="1" applyAlignment="1">
      <alignment horizontal="center" vertical="center"/>
    </xf>
    <xf numFmtId="165" fontId="39" fillId="8" borderId="70" xfId="0" applyNumberFormat="1" applyFont="1" applyFill="1" applyBorder="1" applyAlignment="1">
      <alignment horizontal="center" vertical="center"/>
    </xf>
    <xf numFmtId="2" fontId="39" fillId="8" borderId="32" xfId="0" applyNumberFormat="1" applyFont="1" applyFill="1" applyBorder="1" applyAlignment="1">
      <alignment horizontal="center" vertical="center"/>
    </xf>
    <xf numFmtId="0" fontId="56" fillId="8" borderId="32" xfId="0" applyFont="1" applyFill="1" applyBorder="1" applyAlignment="1">
      <alignment horizontal="center" vertical="center"/>
    </xf>
    <xf numFmtId="0" fontId="54" fillId="8" borderId="51" xfId="0" applyFont="1" applyFill="1" applyBorder="1" applyAlignment="1">
      <alignment horizontal="center" vertical="center"/>
    </xf>
    <xf numFmtId="0" fontId="54" fillId="8" borderId="29" xfId="0" applyFont="1" applyFill="1" applyBorder="1" applyAlignment="1">
      <alignment horizontal="center" vertical="center"/>
    </xf>
    <xf numFmtId="2" fontId="41" fillId="8" borderId="51" xfId="0" applyNumberFormat="1" applyFont="1" applyFill="1" applyBorder="1" applyAlignment="1">
      <alignment horizontal="center" vertical="center"/>
    </xf>
    <xf numFmtId="0" fontId="41" fillId="8" borderId="29" xfId="0" applyFont="1" applyFill="1" applyBorder="1" applyAlignment="1">
      <alignment horizontal="center" vertical="center"/>
    </xf>
    <xf numFmtId="0" fontId="54" fillId="8" borderId="32" xfId="0" applyFont="1" applyFill="1" applyBorder="1" applyAlignment="1">
      <alignment horizontal="center" vertical="center"/>
    </xf>
    <xf numFmtId="0" fontId="54" fillId="8" borderId="70" xfId="0" applyFont="1" applyFill="1" applyBorder="1" applyAlignment="1">
      <alignment horizontal="center" vertical="center"/>
    </xf>
    <xf numFmtId="0" fontId="54" fillId="8" borderId="35" xfId="0" applyFont="1" applyFill="1" applyBorder="1" applyAlignment="1">
      <alignment horizontal="center" vertical="center"/>
    </xf>
    <xf numFmtId="0" fontId="54" fillId="0" borderId="32" xfId="0" applyFont="1" applyBorder="1" applyAlignment="1">
      <alignment horizontal="center" vertical="center"/>
    </xf>
    <xf numFmtId="0" fontId="35" fillId="2" borderId="32" xfId="0" applyFont="1" applyFill="1" applyBorder="1" applyAlignment="1">
      <alignment horizontal="center" vertical="center"/>
    </xf>
    <xf numFmtId="0" fontId="54" fillId="2" borderId="29" xfId="0" applyFont="1" applyFill="1" applyBorder="1" applyAlignment="1">
      <alignment horizontal="center" vertical="center"/>
    </xf>
    <xf numFmtId="2" fontId="39" fillId="2" borderId="32" xfId="0" applyNumberFormat="1" applyFont="1" applyFill="1" applyBorder="1" applyAlignment="1">
      <alignment horizontal="center" vertical="center"/>
    </xf>
    <xf numFmtId="2" fontId="39" fillId="2" borderId="69" xfId="0" applyNumberFormat="1" applyFont="1" applyFill="1" applyBorder="1" applyAlignment="1">
      <alignment horizontal="center" vertical="center"/>
    </xf>
    <xf numFmtId="2" fontId="57" fillId="2" borderId="51" xfId="0" applyNumberFormat="1" applyFont="1" applyFill="1" applyBorder="1" applyAlignment="1">
      <alignment horizontal="center" vertical="center"/>
    </xf>
    <xf numFmtId="0" fontId="57" fillId="2" borderId="29" xfId="0" applyFont="1" applyFill="1" applyBorder="1" applyAlignment="1">
      <alignment horizontal="center" vertical="center"/>
    </xf>
    <xf numFmtId="0" fontId="39" fillId="2" borderId="142" xfId="0" applyFont="1" applyFill="1" applyBorder="1" applyAlignment="1">
      <alignment horizontal="center" vertical="center"/>
    </xf>
    <xf numFmtId="0" fontId="35" fillId="2" borderId="142" xfId="0" applyFont="1" applyFill="1" applyBorder="1" applyAlignment="1">
      <alignment horizontal="center" vertical="center"/>
    </xf>
    <xf numFmtId="165" fontId="39" fillId="2" borderId="70" xfId="0" applyNumberFormat="1" applyFont="1" applyFill="1" applyBorder="1" applyAlignment="1">
      <alignment horizontal="center" vertical="center"/>
    </xf>
    <xf numFmtId="165" fontId="39" fillId="2" borderId="32" xfId="0" applyNumberFormat="1" applyFont="1" applyFill="1" applyBorder="1" applyAlignment="1">
      <alignment horizontal="center" vertical="center"/>
    </xf>
    <xf numFmtId="165" fontId="39" fillId="2" borderId="69" xfId="0" applyNumberFormat="1" applyFont="1" applyFill="1" applyBorder="1" applyAlignment="1">
      <alignment horizontal="center" vertical="center"/>
    </xf>
    <xf numFmtId="0" fontId="58" fillId="2" borderId="70" xfId="0" applyFont="1" applyFill="1" applyBorder="1" applyAlignment="1">
      <alignment horizontal="center" vertical="center"/>
    </xf>
    <xf numFmtId="0" fontId="35" fillId="2" borderId="51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0" fontId="35" fillId="2" borderId="35" xfId="0" applyFont="1" applyFill="1" applyBorder="1" applyAlignment="1">
      <alignment horizontal="center" vertical="center"/>
    </xf>
    <xf numFmtId="0" fontId="54" fillId="2" borderId="32" xfId="0" applyFont="1" applyFill="1" applyBorder="1" applyAlignment="1">
      <alignment horizontal="center" vertical="center"/>
    </xf>
    <xf numFmtId="0" fontId="0" fillId="2" borderId="0" xfId="0" applyFill="1"/>
    <xf numFmtId="0" fontId="35" fillId="0" borderId="0" xfId="0" applyFont="1"/>
    <xf numFmtId="0" fontId="58" fillId="2" borderId="32" xfId="0" applyFont="1" applyFill="1" applyBorder="1" applyAlignment="1">
      <alignment horizontal="center" vertical="center"/>
    </xf>
    <xf numFmtId="2" fontId="57" fillId="2" borderId="32" xfId="0" applyNumberFormat="1" applyFont="1" applyFill="1" applyBorder="1" applyAlignment="1">
      <alignment horizontal="center" vertical="center"/>
    </xf>
    <xf numFmtId="0" fontId="57" fillId="2" borderId="32" xfId="0" applyFont="1" applyFill="1" applyBorder="1" applyAlignment="1">
      <alignment horizontal="center" vertical="center"/>
    </xf>
    <xf numFmtId="0" fontId="59" fillId="2" borderId="32" xfId="0" applyFont="1" applyFill="1" applyBorder="1" applyAlignment="1">
      <alignment horizontal="center" vertical="center"/>
    </xf>
    <xf numFmtId="0" fontId="59" fillId="2" borderId="59" xfId="0" applyFont="1" applyFill="1" applyBorder="1" applyAlignment="1">
      <alignment horizontal="center" vertical="center"/>
    </xf>
    <xf numFmtId="0" fontId="59" fillId="2" borderId="40" xfId="0" applyFont="1" applyFill="1" applyBorder="1" applyAlignment="1">
      <alignment horizontal="center" vertical="center"/>
    </xf>
    <xf numFmtId="0" fontId="59" fillId="2" borderId="31" xfId="0" applyFont="1" applyFill="1" applyBorder="1" applyAlignment="1">
      <alignment horizontal="center" vertical="center"/>
    </xf>
    <xf numFmtId="0" fontId="54" fillId="0" borderId="29" xfId="0" applyFont="1" applyBorder="1" applyAlignment="1">
      <alignment horizontal="center" vertical="center"/>
    </xf>
    <xf numFmtId="0" fontId="35" fillId="2" borderId="40" xfId="0" applyFont="1" applyFill="1" applyBorder="1" applyAlignment="1">
      <alignment horizontal="center" vertical="center"/>
    </xf>
    <xf numFmtId="165" fontId="39" fillId="0" borderId="60" xfId="0" applyNumberFormat="1" applyFont="1" applyBorder="1" applyAlignment="1">
      <alignment horizontal="center" vertical="center"/>
    </xf>
    <xf numFmtId="165" fontId="39" fillId="0" borderId="61" xfId="0" applyNumberFormat="1" applyFont="1" applyBorder="1" applyAlignment="1">
      <alignment horizontal="center" vertical="center"/>
    </xf>
    <xf numFmtId="2" fontId="6" fillId="0" borderId="51" xfId="0" applyNumberFormat="1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39" fillId="0" borderId="144" xfId="0" applyFont="1" applyBorder="1" applyAlignment="1">
      <alignment horizontal="center" vertical="center"/>
    </xf>
    <xf numFmtId="2" fontId="39" fillId="0" borderId="61" xfId="0" applyNumberFormat="1" applyFont="1" applyBorder="1" applyAlignment="1">
      <alignment horizontal="center" vertical="center"/>
    </xf>
    <xf numFmtId="0" fontId="0" fillId="0" borderId="144" xfId="0" applyBorder="1" applyAlignment="1">
      <alignment horizontal="center" vertical="center"/>
    </xf>
    <xf numFmtId="165" fontId="39" fillId="0" borderId="65" xfId="0" applyNumberFormat="1" applyFont="1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2" fontId="39" fillId="0" borderId="60" xfId="0" applyNumberFormat="1" applyFont="1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39" fillId="2" borderId="26" xfId="0" applyFont="1" applyFill="1" applyBorder="1" applyAlignment="1">
      <alignment horizontal="center" vertical="center"/>
    </xf>
    <xf numFmtId="0" fontId="0" fillId="8" borderId="0" xfId="0" applyFill="1"/>
    <xf numFmtId="0" fontId="54" fillId="8" borderId="30" xfId="0" applyFont="1" applyFill="1" applyBorder="1" applyAlignment="1">
      <alignment horizontal="center" vertical="center"/>
    </xf>
    <xf numFmtId="0" fontId="35" fillId="2" borderId="26" xfId="0" applyFont="1" applyFill="1" applyBorder="1" applyAlignment="1">
      <alignment horizontal="center" vertical="center"/>
    </xf>
    <xf numFmtId="0" fontId="54" fillId="8" borderId="33" xfId="0" applyFont="1" applyFill="1" applyBorder="1" applyAlignment="1">
      <alignment horizontal="center" vertical="center"/>
    </xf>
    <xf numFmtId="0" fontId="54" fillId="8" borderId="64" xfId="0" applyFont="1" applyFill="1" applyBorder="1" applyAlignment="1">
      <alignment horizontal="center" vertical="center"/>
    </xf>
    <xf numFmtId="0" fontId="60" fillId="8" borderId="51" xfId="0" applyFont="1" applyFill="1" applyBorder="1" applyAlignment="1">
      <alignment horizontal="center" vertical="center"/>
    </xf>
    <xf numFmtId="0" fontId="35" fillId="2" borderId="31" xfId="0" applyFont="1" applyFill="1" applyBorder="1" applyAlignment="1">
      <alignment horizontal="center" vertical="center"/>
    </xf>
    <xf numFmtId="2" fontId="39" fillId="2" borderId="31" xfId="0" applyNumberFormat="1" applyFont="1" applyFill="1" applyBorder="1" applyAlignment="1">
      <alignment horizontal="center" vertical="center"/>
    </xf>
    <xf numFmtId="0" fontId="54" fillId="8" borderId="125" xfId="0" applyFont="1" applyFill="1" applyBorder="1" applyAlignment="1">
      <alignment horizontal="center" vertical="center"/>
    </xf>
    <xf numFmtId="0" fontId="54" fillId="8" borderId="123" xfId="0" applyFont="1" applyFill="1" applyBorder="1" applyAlignment="1">
      <alignment horizontal="center" vertical="center"/>
    </xf>
    <xf numFmtId="2" fontId="39" fillId="8" borderId="123" xfId="0" applyNumberFormat="1" applyFont="1" applyFill="1" applyBorder="1" applyAlignment="1">
      <alignment horizontal="center" vertical="center"/>
    </xf>
    <xf numFmtId="2" fontId="39" fillId="8" borderId="124" xfId="0" applyNumberFormat="1" applyFont="1" applyFill="1" applyBorder="1" applyAlignment="1">
      <alignment horizontal="center" vertical="center"/>
    </xf>
    <xf numFmtId="0" fontId="54" fillId="8" borderId="60" xfId="0" applyFont="1" applyFill="1" applyBorder="1" applyAlignment="1">
      <alignment horizontal="center" vertical="center"/>
    </xf>
    <xf numFmtId="2" fontId="39" fillId="8" borderId="60" xfId="0" applyNumberFormat="1" applyFont="1" applyFill="1" applyBorder="1" applyAlignment="1">
      <alignment horizontal="center" vertical="center"/>
    </xf>
    <xf numFmtId="2" fontId="39" fillId="8" borderId="61" xfId="0" applyNumberFormat="1" applyFont="1" applyFill="1" applyBorder="1" applyAlignment="1">
      <alignment horizontal="center" vertical="center"/>
    </xf>
    <xf numFmtId="165" fontId="39" fillId="2" borderId="31" xfId="0" applyNumberFormat="1" applyFont="1" applyFill="1" applyBorder="1" applyAlignment="1">
      <alignment horizontal="center" vertical="center"/>
    </xf>
    <xf numFmtId="165" fontId="39" fillId="8" borderId="123" xfId="0" applyNumberFormat="1" applyFont="1" applyFill="1" applyBorder="1" applyAlignment="1">
      <alignment horizontal="center" vertical="center"/>
    </xf>
    <xf numFmtId="165" fontId="39" fillId="8" borderId="124" xfId="0" applyNumberFormat="1" applyFont="1" applyFill="1" applyBorder="1" applyAlignment="1">
      <alignment horizontal="center" vertical="center"/>
    </xf>
    <xf numFmtId="0" fontId="39" fillId="2" borderId="31" xfId="0" applyFont="1" applyFill="1" applyBorder="1" applyAlignment="1">
      <alignment horizontal="center" vertical="center"/>
    </xf>
    <xf numFmtId="0" fontId="39" fillId="8" borderId="125" xfId="0" applyFont="1" applyFill="1" applyBorder="1" applyAlignment="1">
      <alignment horizontal="center" vertical="center"/>
    </xf>
    <xf numFmtId="0" fontId="54" fillId="13" borderId="29" xfId="0" applyFont="1" applyFill="1" applyBorder="1" applyAlignment="1">
      <alignment horizontal="center" vertical="center"/>
    </xf>
    <xf numFmtId="165" fontId="39" fillId="2" borderId="26" xfId="0" applyNumberFormat="1" applyFont="1" applyFill="1" applyBorder="1" applyAlignment="1">
      <alignment horizontal="center" vertical="center"/>
    </xf>
    <xf numFmtId="165" fontId="39" fillId="2" borderId="175" xfId="0" applyNumberFormat="1" applyFont="1" applyFill="1" applyBorder="1" applyAlignment="1">
      <alignment horizontal="center" vertical="center"/>
    </xf>
    <xf numFmtId="9" fontId="54" fillId="8" borderId="32" xfId="0" applyNumberFormat="1" applyFont="1" applyFill="1" applyBorder="1" applyAlignment="1">
      <alignment horizontal="center" vertical="center"/>
    </xf>
    <xf numFmtId="0" fontId="0" fillId="9" borderId="51" xfId="0" applyFill="1" applyBorder="1" applyAlignment="1">
      <alignment horizontal="center" vertical="center"/>
    </xf>
    <xf numFmtId="165" fontId="54" fillId="8" borderId="142" xfId="0" applyNumberFormat="1" applyFont="1" applyFill="1" applyBorder="1" applyAlignment="1">
      <alignment horizontal="center" vertical="center"/>
    </xf>
    <xf numFmtId="165" fontId="35" fillId="2" borderId="142" xfId="0" applyNumberFormat="1" applyFont="1" applyFill="1" applyBorder="1" applyAlignment="1">
      <alignment horizontal="center" vertical="center"/>
    </xf>
    <xf numFmtId="165" fontId="0" fillId="0" borderId="144" xfId="0" applyNumberFormat="1" applyBorder="1" applyAlignment="1">
      <alignment horizontal="center" vertical="center"/>
    </xf>
    <xf numFmtId="165" fontId="35" fillId="2" borderId="31" xfId="0" applyNumberFormat="1" applyFont="1" applyFill="1" applyBorder="1" applyAlignment="1">
      <alignment horizontal="center" vertical="center"/>
    </xf>
    <xf numFmtId="165" fontId="54" fillId="8" borderId="125" xfId="0" applyNumberFormat="1" applyFont="1" applyFill="1" applyBorder="1" applyAlignment="1">
      <alignment horizontal="center" vertical="center"/>
    </xf>
    <xf numFmtId="165" fontId="54" fillId="8" borderId="144" xfId="0" applyNumberFormat="1" applyFont="1" applyFill="1" applyBorder="1" applyAlignment="1">
      <alignment horizontal="center" vertical="center"/>
    </xf>
    <xf numFmtId="165" fontId="35" fillId="2" borderId="32" xfId="0" applyNumberFormat="1" applyFont="1" applyFill="1" applyBorder="1" applyAlignment="1">
      <alignment horizontal="center" vertical="center"/>
    </xf>
    <xf numFmtId="0" fontId="54" fillId="8" borderId="126" xfId="0" applyFont="1" applyFill="1" applyBorder="1" applyAlignment="1">
      <alignment horizontal="center" vertical="center"/>
    </xf>
    <xf numFmtId="165" fontId="0" fillId="0" borderId="60" xfId="0" applyNumberFormat="1" applyBorder="1" applyAlignment="1">
      <alignment horizontal="center" vertical="center"/>
    </xf>
    <xf numFmtId="165" fontId="54" fillId="8" borderId="123" xfId="0" applyNumberFormat="1" applyFont="1" applyFill="1" applyBorder="1" applyAlignment="1">
      <alignment horizontal="center" vertical="center"/>
    </xf>
    <xf numFmtId="165" fontId="54" fillId="8" borderId="60" xfId="0" applyNumberFormat="1" applyFont="1" applyFill="1" applyBorder="1" applyAlignment="1">
      <alignment horizontal="center" vertical="center"/>
    </xf>
    <xf numFmtId="0" fontId="39" fillId="2" borderId="51" xfId="0" applyFont="1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59" fillId="2" borderId="26" xfId="0" applyFont="1" applyFill="1" applyBorder="1" applyAlignment="1">
      <alignment horizontal="center" vertical="center"/>
    </xf>
    <xf numFmtId="0" fontId="54" fillId="8" borderId="24" xfId="0" applyFont="1" applyFill="1" applyBorder="1" applyAlignment="1">
      <alignment horizontal="center" vertical="center"/>
    </xf>
    <xf numFmtId="0" fontId="54" fillId="8" borderId="28" xfId="0" applyFont="1" applyFill="1" applyBorder="1" applyAlignment="1">
      <alignment horizontal="center" vertical="center"/>
    </xf>
    <xf numFmtId="0" fontId="13" fillId="2" borderId="51" xfId="0" applyFont="1" applyFill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165" fontId="54" fillId="8" borderId="30" xfId="0" applyNumberFormat="1" applyFont="1" applyFill="1" applyBorder="1" applyAlignment="1">
      <alignment horizontal="center" vertical="center"/>
    </xf>
    <xf numFmtId="2" fontId="39" fillId="12" borderId="30" xfId="0" applyNumberFormat="1" applyFont="1" applyFill="1" applyBorder="1" applyAlignment="1">
      <alignment horizontal="center" vertical="center"/>
    </xf>
    <xf numFmtId="2" fontId="39" fillId="12" borderId="67" xfId="0" applyNumberFormat="1" applyFont="1" applyFill="1" applyBorder="1" applyAlignment="1">
      <alignment horizontal="center" vertical="center"/>
    </xf>
    <xf numFmtId="2" fontId="41" fillId="8" borderId="24" xfId="0" applyNumberFormat="1" applyFont="1" applyFill="1" applyBorder="1" applyAlignment="1">
      <alignment horizontal="center" vertical="center"/>
    </xf>
    <xf numFmtId="0" fontId="41" fillId="8" borderId="23" xfId="0" applyFont="1" applyFill="1" applyBorder="1" applyAlignment="1">
      <alignment horizontal="center" vertical="center"/>
    </xf>
    <xf numFmtId="165" fontId="54" fillId="8" borderId="126" xfId="0" applyNumberFormat="1" applyFont="1" applyFill="1" applyBorder="1" applyAlignment="1">
      <alignment horizontal="center" vertical="center"/>
    </xf>
    <xf numFmtId="165" fontId="39" fillId="12" borderId="30" xfId="0" applyNumberFormat="1" applyFont="1" applyFill="1" applyBorder="1" applyAlignment="1">
      <alignment horizontal="center" vertical="center"/>
    </xf>
    <xf numFmtId="165" fontId="39" fillId="12" borderId="67" xfId="0" applyNumberFormat="1" applyFont="1" applyFill="1" applyBorder="1" applyAlignment="1">
      <alignment horizontal="center" vertical="center"/>
    </xf>
    <xf numFmtId="9" fontId="54" fillId="8" borderId="30" xfId="0" applyNumberFormat="1" applyFont="1" applyFill="1" applyBorder="1" applyAlignment="1">
      <alignment horizontal="center" vertical="center"/>
    </xf>
    <xf numFmtId="0" fontId="54" fillId="8" borderId="23" xfId="0" applyFont="1" applyFill="1" applyBorder="1" applyAlignment="1">
      <alignment horizontal="center" vertical="center"/>
    </xf>
    <xf numFmtId="0" fontId="54" fillId="8" borderId="47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1" fillId="0" borderId="78" xfId="0" applyFont="1" applyBorder="1"/>
    <xf numFmtId="0" fontId="3" fillId="0" borderId="139" xfId="0" applyFont="1" applyBorder="1" applyAlignment="1" applyProtection="1">
      <alignment horizontal="center" vertical="center"/>
      <protection locked="0"/>
    </xf>
    <xf numFmtId="0" fontId="2" fillId="0" borderId="140" xfId="0" applyFont="1" applyBorder="1" applyAlignment="1">
      <alignment vertical="center"/>
    </xf>
    <xf numFmtId="0" fontId="2" fillId="0" borderId="76" xfId="0" applyFont="1" applyBorder="1" applyAlignment="1">
      <alignment vertical="center"/>
    </xf>
    <xf numFmtId="0" fontId="2" fillId="0" borderId="77" xfId="0" applyFont="1" applyBorder="1" applyAlignment="1">
      <alignment vertical="center"/>
    </xf>
    <xf numFmtId="0" fontId="3" fillId="0" borderId="79" xfId="0" applyFont="1" applyBorder="1" applyAlignment="1" applyProtection="1">
      <alignment horizontal="center" vertical="center"/>
      <protection locked="0"/>
    </xf>
    <xf numFmtId="0" fontId="3" fillId="0" borderId="80" xfId="0" applyFont="1" applyBorder="1" applyAlignment="1" applyProtection="1">
      <alignment horizontal="center" vertical="center"/>
      <protection locked="0"/>
    </xf>
    <xf numFmtId="0" fontId="17" fillId="0" borderId="0" xfId="0" applyFont="1" applyAlignment="1">
      <alignment vertical="center"/>
    </xf>
    <xf numFmtId="0" fontId="54" fillId="0" borderId="0" xfId="0" applyFont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6" fillId="11" borderId="28" xfId="0" applyFont="1" applyFill="1" applyBorder="1" applyAlignment="1">
      <alignment horizontal="center" vertical="center"/>
    </xf>
    <xf numFmtId="0" fontId="6" fillId="11" borderId="59" xfId="0" applyFont="1" applyFill="1" applyBorder="1" applyAlignment="1">
      <alignment horizontal="center" vertical="center"/>
    </xf>
    <xf numFmtId="0" fontId="6" fillId="11" borderId="59" xfId="0" applyFont="1" applyFill="1" applyBorder="1" applyAlignment="1">
      <alignment horizontal="center" vertical="center" wrapText="1"/>
    </xf>
    <xf numFmtId="0" fontId="6" fillId="11" borderId="27" xfId="0" applyFont="1" applyFill="1" applyBorder="1" applyAlignment="1">
      <alignment horizontal="center" vertical="center"/>
    </xf>
    <xf numFmtId="0" fontId="39" fillId="11" borderId="28" xfId="0" applyFont="1" applyFill="1" applyBorder="1" applyAlignment="1">
      <alignment horizontal="center" vertical="center" wrapText="1"/>
    </xf>
    <xf numFmtId="0" fontId="39" fillId="11" borderId="27" xfId="0" applyFont="1" applyFill="1" applyBorder="1" applyAlignment="1">
      <alignment horizontal="center" vertical="center" wrapText="1"/>
    </xf>
    <xf numFmtId="2" fontId="39" fillId="11" borderId="176" xfId="0" applyNumberFormat="1" applyFont="1" applyFill="1" applyBorder="1" applyAlignment="1">
      <alignment horizontal="left" vertical="center" wrapText="1"/>
    </xf>
    <xf numFmtId="2" fontId="39" fillId="11" borderId="59" xfId="0" applyNumberFormat="1" applyFont="1" applyFill="1" applyBorder="1" applyAlignment="1">
      <alignment horizontal="left" vertical="center" wrapText="1"/>
    </xf>
    <xf numFmtId="2" fontId="39" fillId="11" borderId="73" xfId="0" applyNumberFormat="1" applyFont="1" applyFill="1" applyBorder="1" applyAlignment="1">
      <alignment horizontal="left" vertical="center" wrapText="1"/>
    </xf>
    <xf numFmtId="2" fontId="39" fillId="11" borderId="28" xfId="0" applyNumberFormat="1" applyFont="1" applyFill="1" applyBorder="1" applyAlignment="1">
      <alignment horizontal="left" vertical="center" wrapText="1"/>
    </xf>
    <xf numFmtId="0" fontId="39" fillId="11" borderId="27" xfId="0" applyFont="1" applyFill="1" applyBorder="1" applyAlignment="1">
      <alignment horizontal="left" vertical="center" wrapText="1"/>
    </xf>
    <xf numFmtId="0" fontId="39" fillId="11" borderId="176" xfId="0" applyFont="1" applyFill="1" applyBorder="1" applyAlignment="1">
      <alignment horizontal="left" vertical="center" wrapText="1"/>
    </xf>
    <xf numFmtId="0" fontId="39" fillId="11" borderId="73" xfId="0" applyFont="1" applyFill="1" applyBorder="1" applyAlignment="1">
      <alignment horizontal="left" vertical="center" wrapText="1"/>
    </xf>
    <xf numFmtId="0" fontId="39" fillId="11" borderId="21" xfId="0" applyFont="1" applyFill="1" applyBorder="1" applyAlignment="1">
      <alignment horizontal="left" vertical="center" wrapText="1"/>
    </xf>
    <xf numFmtId="0" fontId="39" fillId="11" borderId="59" xfId="0" applyFont="1" applyFill="1" applyBorder="1" applyAlignment="1">
      <alignment horizontal="left" vertical="center" wrapText="1"/>
    </xf>
    <xf numFmtId="0" fontId="39" fillId="11" borderId="59" xfId="0" applyFont="1" applyFill="1" applyBorder="1" applyAlignment="1">
      <alignment horizontal="center" vertical="center" wrapText="1"/>
    </xf>
    <xf numFmtId="0" fontId="39" fillId="11" borderId="73" xfId="0" applyFont="1" applyFill="1" applyBorder="1" applyAlignment="1">
      <alignment horizontal="center" vertical="center" wrapText="1"/>
    </xf>
    <xf numFmtId="0" fontId="39" fillId="11" borderId="127" xfId="0" applyFont="1" applyFill="1" applyBorder="1" applyAlignment="1">
      <alignment horizontal="left" vertical="center" wrapText="1"/>
    </xf>
    <xf numFmtId="0" fontId="39" fillId="11" borderId="25" xfId="0" applyFont="1" applyFill="1" applyBorder="1" applyAlignment="1">
      <alignment horizontal="left" vertical="center" wrapText="1"/>
    </xf>
    <xf numFmtId="0" fontId="39" fillId="11" borderId="40" xfId="0" applyFont="1" applyFill="1" applyBorder="1" applyAlignment="1">
      <alignment horizontal="left" vertical="center" wrapText="1"/>
    </xf>
    <xf numFmtId="0" fontId="39" fillId="11" borderId="169" xfId="0" applyFont="1" applyFill="1" applyBorder="1" applyAlignment="1">
      <alignment horizontal="left" vertical="center" wrapText="1"/>
    </xf>
    <xf numFmtId="0" fontId="39" fillId="11" borderId="177" xfId="0" applyFont="1" applyFill="1" applyBorder="1" applyAlignment="1">
      <alignment horizontal="left" vertical="center" wrapText="1"/>
    </xf>
    <xf numFmtId="0" fontId="39" fillId="11" borderId="26" xfId="0" applyFont="1" applyFill="1" applyBorder="1" applyAlignment="1">
      <alignment horizontal="left" vertical="center" wrapText="1"/>
    </xf>
    <xf numFmtId="0" fontId="54" fillId="11" borderId="0" xfId="0" applyFont="1" applyFill="1" applyAlignment="1">
      <alignment horizontal="left" wrapText="1"/>
    </xf>
    <xf numFmtId="0" fontId="0" fillId="13" borderId="32" xfId="0" applyFill="1" applyBorder="1" applyAlignment="1">
      <alignment horizontal="center" vertical="center"/>
    </xf>
    <xf numFmtId="0" fontId="0" fillId="13" borderId="30" xfId="0" applyFill="1" applyBorder="1" applyAlignment="1">
      <alignment horizontal="center" vertical="center"/>
    </xf>
    <xf numFmtId="165" fontId="0" fillId="0" borderId="32" xfId="0" applyNumberFormat="1" applyBorder="1" applyAlignment="1">
      <alignment horizontal="center" vertical="center"/>
    </xf>
    <xf numFmtId="165" fontId="0" fillId="0" borderId="30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6" fillId="11" borderId="28" xfId="0" applyFont="1" applyFill="1" applyBorder="1" applyAlignment="1">
      <alignment horizontal="center" vertical="center" wrapText="1"/>
    </xf>
    <xf numFmtId="0" fontId="41" fillId="11" borderId="59" xfId="0" applyFont="1" applyFill="1" applyBorder="1" applyAlignment="1">
      <alignment horizontal="center" vertical="center" wrapText="1"/>
    </xf>
    <xf numFmtId="0" fontId="41" fillId="11" borderId="27" xfId="0" applyFont="1" applyFill="1" applyBorder="1" applyAlignment="1">
      <alignment horizontal="center" vertical="center" wrapText="1"/>
    </xf>
    <xf numFmtId="0" fontId="0" fillId="13" borderId="32" xfId="0" applyFill="1" applyBorder="1" applyAlignment="1">
      <alignment horizontal="center" vertical="center" wrapText="1"/>
    </xf>
    <xf numFmtId="165" fontId="54" fillId="0" borderId="32" xfId="0" applyNumberFormat="1" applyFont="1" applyBorder="1" applyAlignment="1">
      <alignment horizontal="center" vertical="center"/>
    </xf>
    <xf numFmtId="165" fontId="54" fillId="0" borderId="30" xfId="0" applyNumberFormat="1" applyFont="1" applyBorder="1" applyAlignment="1">
      <alignment horizontal="center" vertical="center"/>
    </xf>
    <xf numFmtId="0" fontId="2" fillId="0" borderId="130" xfId="0" applyFont="1" applyBorder="1" applyAlignment="1">
      <alignment horizontal="center" vertical="center"/>
    </xf>
    <xf numFmtId="0" fontId="6" fillId="13" borderId="180" xfId="0" applyFont="1" applyFill="1" applyBorder="1" applyAlignment="1">
      <alignment horizontal="center" vertical="center"/>
    </xf>
    <xf numFmtId="2" fontId="6" fillId="0" borderId="180" xfId="0" applyNumberFormat="1" applyFont="1" applyBorder="1" applyAlignment="1">
      <alignment horizontal="center" vertical="center"/>
    </xf>
    <xf numFmtId="1" fontId="6" fillId="0" borderId="180" xfId="0" applyNumberFormat="1" applyFont="1" applyBorder="1" applyAlignment="1">
      <alignment horizontal="center" vertical="center"/>
    </xf>
    <xf numFmtId="0" fontId="6" fillId="0" borderId="181" xfId="0" applyFont="1" applyBorder="1" applyAlignment="1">
      <alignment horizontal="center" vertical="center"/>
    </xf>
    <xf numFmtId="165" fontId="6" fillId="0" borderId="184" xfId="0" applyNumberFormat="1" applyFont="1" applyBorder="1" applyAlignment="1">
      <alignment horizontal="center" vertical="center"/>
    </xf>
    <xf numFmtId="0" fontId="6" fillId="0" borderId="186" xfId="0" applyFont="1" applyBorder="1" applyAlignment="1">
      <alignment horizontal="center" vertical="center"/>
    </xf>
    <xf numFmtId="0" fontId="6" fillId="13" borderId="187" xfId="0" applyFont="1" applyFill="1" applyBorder="1" applyAlignment="1">
      <alignment horizontal="center" vertical="center"/>
    </xf>
    <xf numFmtId="2" fontId="6" fillId="0" borderId="187" xfId="0" applyNumberFormat="1" applyFont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0" fontId="6" fillId="11" borderId="183" xfId="0" applyFont="1" applyFill="1" applyBorder="1" applyAlignment="1">
      <alignment horizontal="center" vertical="center"/>
    </xf>
    <xf numFmtId="0" fontId="6" fillId="11" borderId="184" xfId="0" applyFont="1" applyFill="1" applyBorder="1" applyAlignment="1">
      <alignment horizontal="center" vertical="center"/>
    </xf>
    <xf numFmtId="0" fontId="6" fillId="11" borderId="185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0" fontId="24" fillId="0" borderId="0" xfId="0" applyNumberFormat="1" applyFont="1" applyAlignment="1">
      <alignment horizontal="center" vertical="center"/>
    </xf>
    <xf numFmtId="0" fontId="24" fillId="0" borderId="59" xfId="0" applyFont="1" applyBorder="1" applyAlignment="1">
      <alignment horizontal="center" vertical="center"/>
    </xf>
    <xf numFmtId="0" fontId="24" fillId="0" borderId="51" xfId="0" applyFont="1" applyBorder="1" applyAlignment="1">
      <alignment horizontal="center" vertical="center"/>
    </xf>
    <xf numFmtId="166" fontId="24" fillId="0" borderId="32" xfId="0" applyNumberFormat="1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166" fontId="24" fillId="0" borderId="29" xfId="0" applyNumberFormat="1" applyFont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166" fontId="24" fillId="0" borderId="30" xfId="0" applyNumberFormat="1" applyFont="1" applyBorder="1" applyAlignment="1">
      <alignment horizontal="center" vertical="center"/>
    </xf>
    <xf numFmtId="0" fontId="24" fillId="0" borderId="30" xfId="0" applyFont="1" applyBorder="1" applyAlignment="1">
      <alignment horizontal="center" vertical="center"/>
    </xf>
    <xf numFmtId="166" fontId="24" fillId="0" borderId="23" xfId="0" applyNumberFormat="1" applyFont="1" applyBorder="1" applyAlignment="1">
      <alignment horizontal="center" vertical="center"/>
    </xf>
    <xf numFmtId="0" fontId="61" fillId="7" borderId="28" xfId="0" applyFont="1" applyFill="1" applyBorder="1" applyAlignment="1">
      <alignment horizontal="center" vertical="center"/>
    </xf>
    <xf numFmtId="0" fontId="61" fillId="7" borderId="59" xfId="0" applyFont="1" applyFill="1" applyBorder="1" applyAlignment="1">
      <alignment horizontal="center" vertical="center"/>
    </xf>
    <xf numFmtId="0" fontId="61" fillId="7" borderId="27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13" borderId="30" xfId="0" applyFont="1" applyFill="1" applyBorder="1" applyAlignment="1">
      <alignment horizontal="center" vertical="center"/>
    </xf>
    <xf numFmtId="2" fontId="6" fillId="0" borderId="30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51" fillId="0" borderId="0" xfId="0" applyNumberFormat="1" applyFont="1" applyAlignment="1">
      <alignment horizontal="center" vertical="center"/>
    </xf>
    <xf numFmtId="166" fontId="24" fillId="0" borderId="59" xfId="0" applyNumberFormat="1" applyFont="1" applyBorder="1" applyAlignment="1">
      <alignment horizontal="center" vertical="center"/>
    </xf>
    <xf numFmtId="166" fontId="24" fillId="0" borderId="27" xfId="0" applyNumberFormat="1" applyFont="1" applyBorder="1" applyAlignment="1">
      <alignment horizontal="center" vertical="center"/>
    </xf>
    <xf numFmtId="166" fontId="24" fillId="0" borderId="0" xfId="0" applyNumberFormat="1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62" fillId="0" borderId="180" xfId="0" applyFont="1" applyBorder="1" applyAlignment="1">
      <alignment horizontal="center" vertical="center"/>
    </xf>
    <xf numFmtId="2" fontId="62" fillId="0" borderId="180" xfId="0" applyNumberFormat="1" applyFont="1" applyBorder="1" applyAlignment="1">
      <alignment horizontal="center" vertical="center"/>
    </xf>
    <xf numFmtId="1" fontId="62" fillId="0" borderId="180" xfId="0" applyNumberFormat="1" applyFont="1" applyBorder="1" applyAlignment="1">
      <alignment horizontal="center" vertical="center"/>
    </xf>
    <xf numFmtId="1" fontId="53" fillId="0" borderId="0" xfId="0" applyNumberFormat="1" applyFont="1" applyAlignment="1">
      <alignment horizontal="center" vertical="center"/>
    </xf>
    <xf numFmtId="10" fontId="49" fillId="0" borderId="0" xfId="0" applyNumberFormat="1" applyFont="1" applyAlignment="1">
      <alignment vertical="center"/>
    </xf>
    <xf numFmtId="165" fontId="2" fillId="0" borderId="0" xfId="0" applyNumberFormat="1" applyFont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0" fontId="2" fillId="0" borderId="189" xfId="0" applyFont="1" applyBorder="1" applyAlignment="1">
      <alignment horizontal="center" vertical="center"/>
    </xf>
    <xf numFmtId="165" fontId="2" fillId="0" borderId="190" xfId="0" applyNumberFormat="1" applyFont="1" applyBorder="1" applyAlignment="1">
      <alignment horizontal="center" vertical="center"/>
    </xf>
    <xf numFmtId="0" fontId="2" fillId="0" borderId="190" xfId="0" applyFont="1" applyBorder="1" applyAlignment="1">
      <alignment horizontal="center" vertical="center"/>
    </xf>
    <xf numFmtId="0" fontId="3" fillId="0" borderId="2" xfId="0" applyFont="1" applyBorder="1" applyAlignment="1" applyProtection="1">
      <alignment horizontal="center" vertical="center"/>
      <protection locked="0"/>
    </xf>
    <xf numFmtId="0" fontId="2" fillId="0" borderId="76" xfId="0" applyFont="1" applyBorder="1" applyAlignment="1">
      <alignment horizontal="center" vertical="center"/>
    </xf>
    <xf numFmtId="0" fontId="2" fillId="0" borderId="77" xfId="0" applyFont="1" applyBorder="1" applyAlignment="1">
      <alignment horizontal="center" vertical="center"/>
    </xf>
    <xf numFmtId="0" fontId="2" fillId="0" borderId="78" xfId="0" applyFont="1" applyBorder="1" applyAlignment="1">
      <alignment horizontal="center" vertical="center"/>
    </xf>
    <xf numFmtId="166" fontId="2" fillId="0" borderId="5" xfId="0" applyNumberFormat="1" applyFont="1" applyBorder="1" applyAlignment="1">
      <alignment horizontal="center" vertical="center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36" xfId="0" applyFont="1" applyBorder="1" applyAlignment="1" applyProtection="1">
      <alignment horizontal="center" vertical="center"/>
      <protection locked="0"/>
    </xf>
    <xf numFmtId="0" fontId="2" fillId="0" borderId="178" xfId="0" applyFont="1" applyBorder="1" applyAlignment="1">
      <alignment horizontal="center" vertical="center"/>
    </xf>
    <xf numFmtId="166" fontId="2" fillId="0" borderId="191" xfId="0" applyNumberFormat="1" applyFont="1" applyBorder="1" applyAlignment="1">
      <alignment horizontal="center" vertical="center"/>
    </xf>
    <xf numFmtId="2" fontId="6" fillId="0" borderId="185" xfId="0" applyNumberFormat="1" applyFont="1" applyBorder="1" applyAlignment="1">
      <alignment horizontal="center" vertical="center"/>
    </xf>
    <xf numFmtId="2" fontId="62" fillId="0" borderId="182" xfId="0" applyNumberFormat="1" applyFont="1" applyBorder="1" applyAlignment="1">
      <alignment horizontal="center" vertical="center"/>
    </xf>
    <xf numFmtId="2" fontId="6" fillId="0" borderId="182" xfId="0" applyNumberFormat="1" applyFont="1" applyBorder="1" applyAlignment="1">
      <alignment horizontal="center" vertical="center"/>
    </xf>
    <xf numFmtId="2" fontId="6" fillId="0" borderId="188" xfId="0" applyNumberFormat="1" applyFont="1" applyBorder="1" applyAlignment="1">
      <alignment horizontal="center" vertical="center"/>
    </xf>
    <xf numFmtId="2" fontId="6" fillId="0" borderId="23" xfId="0" applyNumberFormat="1" applyFont="1" applyBorder="1" applyAlignment="1">
      <alignment horizontal="center" vertical="center"/>
    </xf>
    <xf numFmtId="0" fontId="6" fillId="11" borderId="193" xfId="0" applyFont="1" applyFill="1" applyBorder="1" applyAlignment="1">
      <alignment horizontal="center" vertical="center"/>
    </xf>
    <xf numFmtId="165" fontId="6" fillId="11" borderId="194" xfId="0" applyNumberFormat="1" applyFont="1" applyFill="1" applyBorder="1" applyAlignment="1">
      <alignment horizontal="center" vertical="center"/>
    </xf>
    <xf numFmtId="165" fontId="6" fillId="0" borderId="195" xfId="0" applyNumberFormat="1" applyFont="1" applyBorder="1" applyAlignment="1">
      <alignment horizontal="center" vertical="center"/>
    </xf>
    <xf numFmtId="165" fontId="62" fillId="0" borderId="197" xfId="0" applyNumberFormat="1" applyFont="1" applyBorder="1" applyAlignment="1">
      <alignment horizontal="center" vertical="center"/>
    </xf>
    <xf numFmtId="165" fontId="6" fillId="0" borderId="197" xfId="0" applyNumberFormat="1" applyFont="1" applyBorder="1" applyAlignment="1">
      <alignment horizontal="center" vertical="center"/>
    </xf>
    <xf numFmtId="165" fontId="6" fillId="0" borderId="199" xfId="0" applyNumberFormat="1" applyFont="1" applyBorder="1" applyAlignment="1">
      <alignment horizontal="center" vertical="center"/>
    </xf>
    <xf numFmtId="165" fontId="6" fillId="0" borderId="144" xfId="0" applyNumberFormat="1" applyFont="1" applyBorder="1" applyAlignment="1">
      <alignment horizontal="center" vertical="center"/>
    </xf>
    <xf numFmtId="0" fontId="40" fillId="12" borderId="196" xfId="0" applyFont="1" applyFill="1" applyBorder="1" applyAlignment="1">
      <alignment horizontal="center" vertical="center"/>
    </xf>
    <xf numFmtId="0" fontId="56" fillId="12" borderId="198" xfId="0" applyFont="1" applyFill="1" applyBorder="1" applyAlignment="1">
      <alignment horizontal="center" vertical="center"/>
    </xf>
    <xf numFmtId="0" fontId="40" fillId="12" borderId="198" xfId="0" applyFont="1" applyFill="1" applyBorder="1" applyAlignment="1">
      <alignment horizontal="center" vertical="center"/>
    </xf>
    <xf numFmtId="165" fontId="40" fillId="12" borderId="196" xfId="0" applyNumberFormat="1" applyFont="1" applyFill="1" applyBorder="1" applyAlignment="1">
      <alignment horizontal="center" vertical="center"/>
    </xf>
    <xf numFmtId="165" fontId="56" fillId="12" borderId="198" xfId="0" applyNumberFormat="1" applyFont="1" applyFill="1" applyBorder="1" applyAlignment="1">
      <alignment horizontal="center" vertical="center"/>
    </xf>
    <xf numFmtId="165" fontId="40" fillId="12" borderId="198" xfId="0" applyNumberFormat="1" applyFont="1" applyFill="1" applyBorder="1" applyAlignment="1">
      <alignment horizontal="center" vertical="center"/>
    </xf>
    <xf numFmtId="165" fontId="40" fillId="12" borderId="200" xfId="0" applyNumberFormat="1" applyFont="1" applyFill="1" applyBorder="1" applyAlignment="1">
      <alignment horizontal="center" vertical="center"/>
    </xf>
    <xf numFmtId="165" fontId="6" fillId="11" borderId="201" xfId="0" applyNumberFormat="1" applyFont="1" applyFill="1" applyBorder="1" applyAlignment="1">
      <alignment horizontal="center" vertical="center"/>
    </xf>
    <xf numFmtId="0" fontId="6" fillId="11" borderId="201" xfId="0" applyFont="1" applyFill="1" applyBorder="1" applyAlignment="1">
      <alignment horizontal="center" vertical="center"/>
    </xf>
    <xf numFmtId="0" fontId="6" fillId="11" borderId="194" xfId="0" applyFont="1" applyFill="1" applyBorder="1" applyAlignment="1">
      <alignment horizontal="center" vertical="center"/>
    </xf>
    <xf numFmtId="1" fontId="62" fillId="0" borderId="197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144" xfId="0" applyNumberFormat="1" applyFont="1" applyBorder="1" applyAlignment="1">
      <alignment horizontal="center" vertical="center"/>
    </xf>
    <xf numFmtId="1" fontId="6" fillId="0" borderId="60" xfId="0" applyNumberFormat="1" applyFont="1" applyBorder="1" applyAlignment="1">
      <alignment horizontal="center" vertical="center"/>
    </xf>
    <xf numFmtId="0" fontId="6" fillId="11" borderId="202" xfId="0" applyFont="1" applyFill="1" applyBorder="1" applyAlignment="1">
      <alignment horizontal="center" vertical="center"/>
    </xf>
    <xf numFmtId="165" fontId="6" fillId="0" borderId="193" xfId="0" applyNumberFormat="1" applyFont="1" applyBorder="1" applyAlignment="1">
      <alignment horizontal="center" vertical="center"/>
    </xf>
    <xf numFmtId="9" fontId="6" fillId="0" borderId="197" xfId="0" applyNumberFormat="1" applyFont="1" applyBorder="1" applyAlignment="1">
      <alignment horizontal="center" vertical="center"/>
    </xf>
    <xf numFmtId="9" fontId="6" fillId="0" borderId="199" xfId="0" applyNumberFormat="1" applyFont="1" applyBorder="1" applyAlignment="1">
      <alignment horizontal="center" vertical="center"/>
    </xf>
    <xf numFmtId="9" fontId="6" fillId="0" borderId="144" xfId="0" applyNumberFormat="1" applyFont="1" applyBorder="1" applyAlignment="1">
      <alignment horizontal="center" vertical="center"/>
    </xf>
    <xf numFmtId="0" fontId="6" fillId="11" borderId="203" xfId="0" applyFont="1" applyFill="1" applyBorder="1" applyAlignment="1">
      <alignment horizontal="center" vertical="center"/>
    </xf>
    <xf numFmtId="0" fontId="40" fillId="12" borderId="204" xfId="0" applyFont="1" applyFill="1" applyBorder="1" applyAlignment="1">
      <alignment horizontal="center" vertical="center"/>
    </xf>
    <xf numFmtId="0" fontId="56" fillId="12" borderId="182" xfId="0" applyFont="1" applyFill="1" applyBorder="1" applyAlignment="1">
      <alignment horizontal="center" vertical="center"/>
    </xf>
    <xf numFmtId="166" fontId="40" fillId="12" borderId="182" xfId="0" applyNumberFormat="1" applyFont="1" applyFill="1" applyBorder="1" applyAlignment="1">
      <alignment horizontal="center" vertical="center"/>
    </xf>
    <xf numFmtId="166" fontId="40" fillId="12" borderId="205" xfId="0" applyNumberFormat="1" applyFont="1" applyFill="1" applyBorder="1" applyAlignment="1">
      <alignment horizontal="center" vertical="center"/>
    </xf>
    <xf numFmtId="9" fontId="6" fillId="11" borderId="183" xfId="0" applyNumberFormat="1" applyFont="1" applyFill="1" applyBorder="1" applyAlignment="1">
      <alignment horizontal="center" vertical="center"/>
    </xf>
    <xf numFmtId="0" fontId="6" fillId="11" borderId="206" xfId="0" applyFont="1" applyFill="1" applyBorder="1" applyAlignment="1">
      <alignment horizontal="center" vertical="center"/>
    </xf>
    <xf numFmtId="1" fontId="62" fillId="0" borderId="207" xfId="0" applyNumberFormat="1" applyFont="1" applyBorder="1" applyAlignment="1">
      <alignment horizontal="center" vertical="center"/>
    </xf>
    <xf numFmtId="1" fontId="6" fillId="0" borderId="207" xfId="0" applyNumberFormat="1" applyFont="1" applyBorder="1" applyAlignment="1">
      <alignment horizontal="center" vertical="center"/>
    </xf>
    <xf numFmtId="1" fontId="6" fillId="0" borderId="208" xfId="0" applyNumberFormat="1" applyFont="1" applyBorder="1" applyAlignment="1">
      <alignment horizontal="center" vertical="center"/>
    </xf>
    <xf numFmtId="9" fontId="6" fillId="11" borderId="193" xfId="0" applyNumberFormat="1" applyFont="1" applyFill="1" applyBorder="1" applyAlignment="1">
      <alignment horizontal="center" vertical="center"/>
    </xf>
    <xf numFmtId="9" fontId="6" fillId="11" borderId="194" xfId="0" applyNumberFormat="1" applyFont="1" applyFill="1" applyBorder="1" applyAlignment="1">
      <alignment horizontal="center" vertical="center"/>
    </xf>
    <xf numFmtId="166" fontId="6" fillId="0" borderId="38" xfId="0" applyNumberFormat="1" applyFont="1" applyBorder="1" applyAlignment="1">
      <alignment horizontal="center" vertical="center"/>
    </xf>
    <xf numFmtId="0" fontId="62" fillId="0" borderId="38" xfId="0" applyFont="1" applyBorder="1" applyAlignment="1">
      <alignment horizontal="center" vertical="center"/>
    </xf>
    <xf numFmtId="166" fontId="6" fillId="0" borderId="39" xfId="0" applyNumberFormat="1" applyFont="1" applyBorder="1" applyAlignment="1">
      <alignment horizontal="center" vertical="center"/>
    </xf>
    <xf numFmtId="166" fontId="40" fillId="12" borderId="36" xfId="0" applyNumberFormat="1" applyFont="1" applyFill="1" applyBorder="1" applyAlignment="1">
      <alignment horizontal="center" vertical="center"/>
    </xf>
    <xf numFmtId="0" fontId="56" fillId="12" borderId="36" xfId="0" applyFont="1" applyFill="1" applyBorder="1" applyAlignment="1">
      <alignment horizontal="center" vertical="center"/>
    </xf>
    <xf numFmtId="166" fontId="40" fillId="12" borderId="37" xfId="0" applyNumberFormat="1" applyFont="1" applyFill="1" applyBorder="1" applyAlignment="1">
      <alignment horizontal="center" vertical="center"/>
    </xf>
    <xf numFmtId="0" fontId="56" fillId="8" borderId="69" xfId="0" applyFont="1" applyFill="1" applyBorder="1" applyAlignment="1">
      <alignment horizontal="center" vertical="center"/>
    </xf>
    <xf numFmtId="0" fontId="56" fillId="8" borderId="71" xfId="0" applyFont="1" applyFill="1" applyBorder="1" applyAlignment="1">
      <alignment horizontal="center" vertical="center"/>
    </xf>
    <xf numFmtId="0" fontId="56" fillId="8" borderId="70" xfId="0" applyFont="1" applyFill="1" applyBorder="1" applyAlignment="1">
      <alignment horizontal="center" vertical="center"/>
    </xf>
    <xf numFmtId="0" fontId="64" fillId="8" borderId="32" xfId="0" applyFont="1" applyFill="1" applyBorder="1" applyAlignment="1">
      <alignment horizontal="center" vertical="center"/>
    </xf>
    <xf numFmtId="0" fontId="39" fillId="8" borderId="29" xfId="0" applyFont="1" applyFill="1" applyBorder="1" applyAlignment="1">
      <alignment horizontal="center" vertical="center"/>
    </xf>
    <xf numFmtId="0" fontId="39" fillId="2" borderId="29" xfId="0" applyFont="1" applyFill="1" applyBorder="1" applyAlignment="1">
      <alignment horizontal="center" vertical="center"/>
    </xf>
    <xf numFmtId="0" fontId="56" fillId="8" borderId="29" xfId="0" applyFont="1" applyFill="1" applyBorder="1" applyAlignment="1">
      <alignment horizontal="center" vertical="center"/>
    </xf>
    <xf numFmtId="0" fontId="39" fillId="12" borderId="29" xfId="0" applyFont="1" applyFill="1" applyBorder="1" applyAlignment="1">
      <alignment horizontal="center" vertical="center"/>
    </xf>
    <xf numFmtId="0" fontId="39" fillId="8" borderId="165" xfId="0" applyFont="1" applyFill="1" applyBorder="1" applyAlignment="1">
      <alignment horizontal="center" vertical="center"/>
    </xf>
    <xf numFmtId="0" fontId="39" fillId="8" borderId="74" xfId="0" applyFont="1" applyFill="1" applyBorder="1" applyAlignment="1">
      <alignment horizontal="center" vertical="center"/>
    </xf>
    <xf numFmtId="0" fontId="39" fillId="12" borderId="23" xfId="0" applyFont="1" applyFill="1" applyBorder="1" applyAlignment="1">
      <alignment horizontal="center" vertical="center"/>
    </xf>
    <xf numFmtId="0" fontId="39" fillId="11" borderId="210" xfId="0" applyFont="1" applyFill="1" applyBorder="1" applyAlignment="1">
      <alignment horizontal="left" vertical="center" wrapText="1"/>
    </xf>
    <xf numFmtId="0" fontId="39" fillId="11" borderId="175" xfId="0" applyFont="1" applyFill="1" applyBorder="1" applyAlignment="1">
      <alignment horizontal="left" vertical="center" wrapText="1"/>
    </xf>
    <xf numFmtId="0" fontId="39" fillId="11" borderId="43" xfId="0" applyFont="1" applyFill="1" applyBorder="1" applyAlignment="1">
      <alignment horizontal="left" vertical="center" wrapText="1"/>
    </xf>
    <xf numFmtId="0" fontId="54" fillId="2" borderId="142" xfId="0" applyFont="1" applyFill="1" applyBorder="1" applyAlignment="1">
      <alignment horizontal="center" vertical="center"/>
    </xf>
    <xf numFmtId="10" fontId="0" fillId="9" borderId="142" xfId="0" applyNumberFormat="1" applyFill="1" applyBorder="1" applyAlignment="1">
      <alignment horizontal="center" vertical="center"/>
    </xf>
    <xf numFmtId="10" fontId="0" fillId="8" borderId="142" xfId="0" applyNumberFormat="1" applyFill="1" applyBorder="1" applyAlignment="1">
      <alignment horizontal="center" vertical="center"/>
    </xf>
    <xf numFmtId="0" fontId="59" fillId="2" borderId="127" xfId="0" applyFont="1" applyFill="1" applyBorder="1" applyAlignment="1">
      <alignment horizontal="center" vertical="center"/>
    </xf>
    <xf numFmtId="10" fontId="0" fillId="9" borderId="144" xfId="0" applyNumberFormat="1" applyFill="1" applyBorder="1" applyAlignment="1">
      <alignment horizontal="center" vertical="center"/>
    </xf>
    <xf numFmtId="0" fontId="0" fillId="9" borderId="60" xfId="0" applyFill="1" applyBorder="1" applyAlignment="1">
      <alignment horizontal="center" vertical="center"/>
    </xf>
    <xf numFmtId="0" fontId="0" fillId="9" borderId="74" xfId="0" applyFill="1" applyBorder="1" applyAlignment="1">
      <alignment horizontal="center" vertical="center"/>
    </xf>
    <xf numFmtId="0" fontId="39" fillId="11" borderId="124" xfId="0" applyFont="1" applyFill="1" applyBorder="1" applyAlignment="1">
      <alignment horizontal="left" vertical="center" wrapText="1"/>
    </xf>
    <xf numFmtId="0" fontId="53" fillId="2" borderId="32" xfId="0" applyFont="1" applyFill="1" applyBorder="1" applyAlignment="1">
      <alignment horizontal="center" vertical="center"/>
    </xf>
    <xf numFmtId="166" fontId="64" fillId="8" borderId="32" xfId="0" applyNumberFormat="1" applyFont="1" applyFill="1" applyBorder="1" applyAlignment="1">
      <alignment horizontal="center" vertical="center"/>
    </xf>
    <xf numFmtId="166" fontId="64" fillId="2" borderId="32" xfId="0" applyNumberFormat="1" applyFont="1" applyFill="1" applyBorder="1" applyAlignment="1">
      <alignment horizontal="center" vertical="center"/>
    </xf>
    <xf numFmtId="166" fontId="53" fillId="8" borderId="32" xfId="0" applyNumberFormat="1" applyFont="1" applyFill="1" applyBorder="1" applyAlignment="1">
      <alignment horizontal="center" vertical="center"/>
    </xf>
    <xf numFmtId="0" fontId="2" fillId="0" borderId="75" xfId="0" applyFont="1" applyBorder="1" applyAlignment="1">
      <alignment vertical="center"/>
    </xf>
    <xf numFmtId="0" fontId="2" fillId="0" borderId="130" xfId="0" applyFont="1" applyBorder="1" applyAlignment="1">
      <alignment vertical="center"/>
    </xf>
    <xf numFmtId="0" fontId="2" fillId="0" borderId="158" xfId="0" applyFont="1" applyBorder="1" applyAlignment="1">
      <alignment vertical="center"/>
    </xf>
    <xf numFmtId="0" fontId="3" fillId="0" borderId="131" xfId="0" applyFont="1" applyBorder="1" applyAlignment="1" applyProtection="1">
      <alignment horizontal="center" vertical="center"/>
      <protection locked="0"/>
    </xf>
    <xf numFmtId="0" fontId="2" fillId="0" borderId="131" xfId="0" applyFont="1" applyBorder="1" applyAlignment="1">
      <alignment vertical="center"/>
    </xf>
    <xf numFmtId="0" fontId="2" fillId="0" borderId="79" xfId="0" applyFont="1" applyBorder="1" applyAlignment="1">
      <alignment vertical="center"/>
    </xf>
    <xf numFmtId="0" fontId="39" fillId="11" borderId="123" xfId="0" applyFont="1" applyFill="1" applyBorder="1" applyAlignment="1">
      <alignment horizontal="left" vertical="center" wrapText="1"/>
    </xf>
    <xf numFmtId="0" fontId="54" fillId="8" borderId="69" xfId="0" applyFont="1" applyFill="1" applyBorder="1" applyAlignment="1">
      <alignment horizontal="center" vertical="center"/>
    </xf>
    <xf numFmtId="0" fontId="54" fillId="2" borderId="69" xfId="0" applyFont="1" applyFill="1" applyBorder="1" applyAlignment="1">
      <alignment horizontal="center" vertical="center"/>
    </xf>
    <xf numFmtId="0" fontId="53" fillId="8" borderId="69" xfId="0" applyFont="1" applyFill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166" fontId="64" fillId="8" borderId="60" xfId="0" applyNumberFormat="1" applyFont="1" applyFill="1" applyBorder="1" applyAlignment="1">
      <alignment horizontal="center" vertical="center"/>
    </xf>
    <xf numFmtId="0" fontId="64" fillId="8" borderId="60" xfId="0" applyFont="1" applyFill="1" applyBorder="1" applyAlignment="1">
      <alignment horizontal="center" vertical="center"/>
    </xf>
    <xf numFmtId="0" fontId="54" fillId="8" borderId="61" xfId="0" applyFont="1" applyFill="1" applyBorder="1" applyAlignment="1">
      <alignment horizontal="center" vertical="center"/>
    </xf>
    <xf numFmtId="0" fontId="59" fillId="2" borderId="175" xfId="0" applyFont="1" applyFill="1" applyBorder="1" applyAlignment="1">
      <alignment horizontal="center" vertical="center"/>
    </xf>
    <xf numFmtId="166" fontId="64" fillId="2" borderId="31" xfId="0" applyNumberFormat="1" applyFont="1" applyFill="1" applyBorder="1" applyAlignment="1">
      <alignment horizontal="center" vertical="center"/>
    </xf>
    <xf numFmtId="0" fontId="64" fillId="2" borderId="31" xfId="0" applyFont="1" applyFill="1" applyBorder="1" applyAlignment="1">
      <alignment horizontal="center" vertical="center"/>
    </xf>
    <xf numFmtId="0" fontId="54" fillId="2" borderId="31" xfId="0" applyFont="1" applyFill="1" applyBorder="1" applyAlignment="1">
      <alignment horizontal="center" vertical="center"/>
    </xf>
    <xf numFmtId="0" fontId="54" fillId="8" borderId="165" xfId="0" applyFont="1" applyFill="1" applyBorder="1" applyAlignment="1">
      <alignment horizontal="center" vertical="center"/>
    </xf>
    <xf numFmtId="166" fontId="64" fillId="8" borderId="123" xfId="0" applyNumberFormat="1" applyFont="1" applyFill="1" applyBorder="1" applyAlignment="1">
      <alignment horizontal="center" vertical="center"/>
    </xf>
    <xf numFmtId="0" fontId="64" fillId="8" borderId="123" xfId="0" applyFont="1" applyFill="1" applyBorder="1" applyAlignment="1">
      <alignment horizontal="center" vertical="center"/>
    </xf>
    <xf numFmtId="0" fontId="54" fillId="8" borderId="124" xfId="0" applyFont="1" applyFill="1" applyBorder="1" applyAlignment="1">
      <alignment horizontal="center" vertical="center"/>
    </xf>
    <xf numFmtId="0" fontId="54" fillId="8" borderId="74" xfId="0" applyFont="1" applyFill="1" applyBorder="1" applyAlignment="1">
      <alignment horizontal="center" vertical="center"/>
    </xf>
    <xf numFmtId="0" fontId="54" fillId="8" borderId="209" xfId="0" applyFont="1" applyFill="1" applyBorder="1" applyAlignment="1">
      <alignment horizontal="center" vertical="center"/>
    </xf>
    <xf numFmtId="0" fontId="54" fillId="8" borderId="72" xfId="0" applyFont="1" applyFill="1" applyBorder="1" applyAlignment="1">
      <alignment horizontal="center" vertical="center"/>
    </xf>
    <xf numFmtId="0" fontId="59" fillId="2" borderId="211" xfId="0" applyFont="1" applyFill="1" applyBorder="1" applyAlignment="1">
      <alignment horizontal="center" vertical="center"/>
    </xf>
    <xf numFmtId="166" fontId="39" fillId="12" borderId="32" xfId="0" applyNumberFormat="1" applyFont="1" applyFill="1" applyBorder="1" applyAlignment="1">
      <alignment horizontal="center" vertical="center"/>
    </xf>
    <xf numFmtId="0" fontId="39" fillId="12" borderId="32" xfId="0" applyFont="1" applyFill="1" applyBorder="1" applyAlignment="1">
      <alignment horizontal="center" vertical="center"/>
    </xf>
    <xf numFmtId="166" fontId="39" fillId="12" borderId="60" xfId="0" applyNumberFormat="1" applyFont="1" applyFill="1" applyBorder="1" applyAlignment="1">
      <alignment horizontal="center" vertical="center"/>
    </xf>
    <xf numFmtId="0" fontId="39" fillId="12" borderId="60" xfId="0" applyFont="1" applyFill="1" applyBorder="1" applyAlignment="1">
      <alignment horizontal="center" vertical="center"/>
    </xf>
    <xf numFmtId="0" fontId="39" fillId="12" borderId="61" xfId="0" applyFont="1" applyFill="1" applyBorder="1" applyAlignment="1">
      <alignment horizontal="center" vertical="center"/>
    </xf>
    <xf numFmtId="0" fontId="3" fillId="0" borderId="4" xfId="0" applyFont="1" applyBorder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1" fillId="0" borderId="76" xfId="0" applyFont="1" applyBorder="1"/>
    <xf numFmtId="0" fontId="1" fillId="0" borderId="77" xfId="0" applyFont="1" applyBorder="1"/>
    <xf numFmtId="166" fontId="2" fillId="0" borderId="190" xfId="0" applyNumberFormat="1" applyFont="1" applyBorder="1" applyAlignment="1">
      <alignment horizontal="center" vertical="center"/>
    </xf>
    <xf numFmtId="0" fontId="2" fillId="0" borderId="80" xfId="0" applyFont="1" applyBorder="1" applyAlignment="1">
      <alignment vertical="center"/>
    </xf>
    <xf numFmtId="166" fontId="2" fillId="0" borderId="6" xfId="0" applyNumberFormat="1" applyFont="1" applyBorder="1" applyAlignment="1">
      <alignment horizontal="center" vertical="center"/>
    </xf>
    <xf numFmtId="166" fontId="2" fillId="0" borderId="6" xfId="0" applyNumberFormat="1" applyFont="1" applyBorder="1" applyAlignment="1">
      <alignment horizontal="center" vertical="center" wrapText="1"/>
    </xf>
    <xf numFmtId="0" fontId="2" fillId="0" borderId="130" xfId="0" applyFont="1" applyBorder="1" applyAlignment="1" applyProtection="1">
      <alignment vertical="center"/>
      <protection locked="0"/>
    </xf>
    <xf numFmtId="0" fontId="1" fillId="0" borderId="130" xfId="0" applyFont="1" applyBorder="1"/>
    <xf numFmtId="0" fontId="3" fillId="0" borderId="135" xfId="0" applyFont="1" applyBorder="1" applyAlignment="1" applyProtection="1">
      <alignment horizontal="center" vertical="center"/>
      <protection locked="0"/>
    </xf>
    <xf numFmtId="0" fontId="2" fillId="0" borderId="7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 wrapText="1"/>
    </xf>
    <xf numFmtId="0" fontId="36" fillId="0" borderId="142" xfId="0" applyFont="1" applyBorder="1" applyAlignment="1">
      <alignment horizontal="center" vertical="center" wrapText="1"/>
    </xf>
    <xf numFmtId="0" fontId="36" fillId="0" borderId="144" xfId="0" applyFont="1" applyBorder="1" applyAlignment="1">
      <alignment horizontal="center" vertical="center" wrapText="1"/>
    </xf>
    <xf numFmtId="10" fontId="40" fillId="12" borderId="69" xfId="0" applyNumberFormat="1" applyFont="1" applyFill="1" applyBorder="1" applyAlignment="1">
      <alignment horizontal="center" vertical="center" wrapText="1"/>
    </xf>
    <xf numFmtId="9" fontId="40" fillId="12" borderId="69" xfId="0" applyNumberFormat="1" applyFont="1" applyFill="1" applyBorder="1" applyAlignment="1">
      <alignment horizontal="center" vertical="center" wrapText="1"/>
    </xf>
    <xf numFmtId="0" fontId="40" fillId="12" borderId="69" xfId="0" applyFont="1" applyFill="1" applyBorder="1" applyAlignment="1">
      <alignment horizontal="center" vertical="center" wrapText="1"/>
    </xf>
    <xf numFmtId="10" fontId="40" fillId="12" borderId="61" xfId="0" applyNumberFormat="1" applyFont="1" applyFill="1" applyBorder="1" applyAlignment="1">
      <alignment horizontal="center" vertical="center" wrapText="1"/>
    </xf>
    <xf numFmtId="9" fontId="40" fillId="12" borderId="61" xfId="0" applyNumberFormat="1" applyFont="1" applyFill="1" applyBorder="1" applyAlignment="1">
      <alignment horizontal="center" vertical="center" wrapText="1"/>
    </xf>
    <xf numFmtId="0" fontId="6" fillId="0" borderId="35" xfId="0" applyFont="1" applyBorder="1" applyAlignment="1">
      <alignment horizontal="center" vertical="center" wrapText="1"/>
    </xf>
    <xf numFmtId="0" fontId="6" fillId="0" borderId="64" xfId="0" applyFont="1" applyBorder="1" applyAlignment="1">
      <alignment horizontal="center" vertical="center" wrapText="1"/>
    </xf>
    <xf numFmtId="0" fontId="40" fillId="12" borderId="61" xfId="0" applyFont="1" applyFill="1" applyBorder="1" applyAlignment="1">
      <alignment horizontal="center" vertical="center" wrapText="1"/>
    </xf>
    <xf numFmtId="2" fontId="40" fillId="12" borderId="61" xfId="0" applyNumberFormat="1" applyFont="1" applyFill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 wrapText="1"/>
    </xf>
    <xf numFmtId="0" fontId="36" fillId="0" borderId="125" xfId="0" applyFont="1" applyBorder="1" applyAlignment="1">
      <alignment horizontal="center" vertical="center" wrapText="1"/>
    </xf>
    <xf numFmtId="10" fontId="40" fillId="12" borderId="124" xfId="0" applyNumberFormat="1" applyFont="1" applyFill="1" applyBorder="1" applyAlignment="1">
      <alignment horizontal="center" vertical="center" wrapText="1"/>
    </xf>
    <xf numFmtId="0" fontId="40" fillId="12" borderId="124" xfId="0" applyFont="1" applyFill="1" applyBorder="1" applyAlignment="1">
      <alignment horizontal="center" vertical="center" wrapText="1"/>
    </xf>
    <xf numFmtId="9" fontId="40" fillId="12" borderId="124" xfId="0" applyNumberFormat="1" applyFont="1" applyFill="1" applyBorder="1" applyAlignment="1">
      <alignment horizontal="center" vertical="center" wrapText="1"/>
    </xf>
    <xf numFmtId="0" fontId="6" fillId="0" borderId="174" xfId="0" applyFont="1" applyBorder="1" applyAlignment="1">
      <alignment horizontal="center" vertical="center" wrapText="1"/>
    </xf>
    <xf numFmtId="0" fontId="36" fillId="0" borderId="220" xfId="0" applyFont="1" applyBorder="1" applyAlignment="1">
      <alignment horizontal="center" vertical="center" wrapText="1"/>
    </xf>
    <xf numFmtId="9" fontId="40" fillId="12" borderId="221" xfId="0" applyNumberFormat="1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 wrapText="1"/>
    </xf>
    <xf numFmtId="0" fontId="36" fillId="8" borderId="127" xfId="0" applyFont="1" applyFill="1" applyBorder="1" applyAlignment="1">
      <alignment horizontal="center" vertical="center" wrapText="1"/>
    </xf>
    <xf numFmtId="10" fontId="40" fillId="8" borderId="68" xfId="0" applyNumberFormat="1" applyFont="1" applyFill="1" applyBorder="1" applyAlignment="1">
      <alignment horizontal="center" vertical="center" wrapText="1"/>
    </xf>
    <xf numFmtId="9" fontId="40" fillId="8" borderId="68" xfId="0" applyNumberFormat="1" applyFont="1" applyFill="1" applyBorder="1" applyAlignment="1">
      <alignment horizontal="center" vertical="center" wrapText="1"/>
    </xf>
    <xf numFmtId="0" fontId="40" fillId="8" borderId="68" xfId="0" applyFont="1" applyFill="1" applyBorder="1" applyAlignment="1">
      <alignment horizontal="center" vertical="center" wrapText="1"/>
    </xf>
    <xf numFmtId="0" fontId="57" fillId="7" borderId="125" xfId="0" applyFont="1" applyFill="1" applyBorder="1" applyAlignment="1">
      <alignment horizontal="center" vertical="center" wrapText="1"/>
    </xf>
    <xf numFmtId="0" fontId="57" fillId="7" borderId="33" xfId="0" applyFont="1" applyFill="1" applyBorder="1" applyAlignment="1">
      <alignment horizontal="center" vertical="center" wrapText="1"/>
    </xf>
    <xf numFmtId="0" fontId="57" fillId="7" borderId="124" xfId="0" applyFont="1" applyFill="1" applyBorder="1" applyAlignment="1">
      <alignment horizontal="center" vertical="center" wrapText="1"/>
    </xf>
    <xf numFmtId="0" fontId="36" fillId="0" borderId="35" xfId="0" applyFont="1" applyBorder="1" applyAlignment="1">
      <alignment horizontal="center" vertical="center" wrapText="1"/>
    </xf>
    <xf numFmtId="0" fontId="36" fillId="0" borderId="70" xfId="0" applyFont="1" applyBorder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1" fontId="40" fillId="12" borderId="0" xfId="0" applyNumberFormat="1" applyFont="1" applyFill="1" applyAlignment="1">
      <alignment horizontal="center" vertical="center" wrapText="1"/>
    </xf>
    <xf numFmtId="10" fontId="40" fillId="12" borderId="0" xfId="0" applyNumberFormat="1" applyFont="1" applyFill="1" applyAlignment="1">
      <alignment horizontal="center" vertical="center" wrapText="1"/>
    </xf>
    <xf numFmtId="0" fontId="40" fillId="12" borderId="0" xfId="0" applyFont="1" applyFill="1" applyAlignment="1">
      <alignment horizontal="center" vertical="center" wrapText="1"/>
    </xf>
    <xf numFmtId="9" fontId="40" fillId="12" borderId="0" xfId="0" applyNumberFormat="1" applyFont="1" applyFill="1" applyAlignment="1">
      <alignment horizontal="center" vertical="center" wrapText="1"/>
    </xf>
    <xf numFmtId="9" fontId="6" fillId="0" borderId="0" xfId="0" applyNumberFormat="1" applyFont="1" applyAlignment="1">
      <alignment horizontal="center" vertical="center" wrapText="1"/>
    </xf>
    <xf numFmtId="0" fontId="52" fillId="0" borderId="70" xfId="0" applyFont="1" applyBorder="1" applyAlignment="1">
      <alignment horizontal="center" vertical="center" wrapText="1"/>
    </xf>
    <xf numFmtId="0" fontId="52" fillId="0" borderId="51" xfId="0" applyFont="1" applyBorder="1" applyAlignment="1">
      <alignment horizontal="center" vertical="center" wrapText="1"/>
    </xf>
    <xf numFmtId="0" fontId="57" fillId="0" borderId="69" xfId="0" applyFont="1" applyBorder="1" applyAlignment="1">
      <alignment horizontal="center" vertical="center" wrapText="1"/>
    </xf>
    <xf numFmtId="0" fontId="52" fillId="0" borderId="35" xfId="0" applyFont="1" applyBorder="1" applyAlignment="1">
      <alignment horizontal="center" vertical="center" wrapText="1"/>
    </xf>
    <xf numFmtId="0" fontId="57" fillId="7" borderId="165" xfId="0" applyFont="1" applyFill="1" applyBorder="1" applyAlignment="1">
      <alignment horizontal="center" vertical="center" wrapText="1"/>
    </xf>
    <xf numFmtId="0" fontId="40" fillId="12" borderId="29" xfId="0" applyFont="1" applyFill="1" applyBorder="1" applyAlignment="1">
      <alignment horizontal="center" vertical="center" wrapText="1"/>
    </xf>
    <xf numFmtId="9" fontId="40" fillId="12" borderId="29" xfId="0" applyNumberFormat="1" applyFont="1" applyFill="1" applyBorder="1" applyAlignment="1">
      <alignment horizontal="center" vertical="center" wrapText="1"/>
    </xf>
    <xf numFmtId="9" fontId="40" fillId="12" borderId="74" xfId="0" applyNumberFormat="1" applyFont="1" applyFill="1" applyBorder="1" applyAlignment="1">
      <alignment horizontal="center" vertical="center" wrapText="1"/>
    </xf>
    <xf numFmtId="9" fontId="40" fillId="8" borderId="26" xfId="0" applyNumberFormat="1" applyFont="1" applyFill="1" applyBorder="1" applyAlignment="1">
      <alignment horizontal="center" vertical="center" wrapText="1"/>
    </xf>
    <xf numFmtId="9" fontId="40" fillId="12" borderId="165" xfId="0" applyNumberFormat="1" applyFont="1" applyFill="1" applyBorder="1" applyAlignment="1">
      <alignment horizontal="center" vertical="center" wrapText="1"/>
    </xf>
    <xf numFmtId="0" fontId="36" fillId="0" borderId="71" xfId="0" applyFont="1" applyBorder="1" applyAlignment="1">
      <alignment horizontal="center" vertical="center" wrapText="1"/>
    </xf>
    <xf numFmtId="0" fontId="49" fillId="0" borderId="0" xfId="0" applyFont="1" applyAlignment="1">
      <alignment vertical="center" wrapText="1"/>
    </xf>
    <xf numFmtId="0" fontId="20" fillId="0" borderId="0" xfId="0" applyFont="1" applyAlignment="1">
      <alignment horizontal="center" vertical="center" wrapText="1"/>
    </xf>
    <xf numFmtId="0" fontId="14" fillId="0" borderId="14" xfId="0" applyFont="1" applyBorder="1" applyAlignment="1">
      <alignment horizontal="center" vertical="center"/>
    </xf>
    <xf numFmtId="0" fontId="66" fillId="0" borderId="14" xfId="0" applyFont="1" applyBorder="1" applyAlignment="1">
      <alignment vertical="center"/>
    </xf>
    <xf numFmtId="0" fontId="66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14" fillId="0" borderId="9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66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" fillId="0" borderId="171" xfId="0" applyFont="1" applyBorder="1" applyAlignment="1">
      <alignment vertical="center"/>
    </xf>
    <xf numFmtId="0" fontId="2" fillId="0" borderId="223" xfId="0" applyFont="1" applyBorder="1" applyAlignment="1">
      <alignment vertical="center"/>
    </xf>
    <xf numFmtId="0" fontId="2" fillId="0" borderId="224" xfId="0" applyFont="1" applyBorder="1" applyAlignment="1">
      <alignment vertical="center"/>
    </xf>
    <xf numFmtId="0" fontId="66" fillId="0" borderId="170" xfId="0" applyFont="1" applyBorder="1" applyAlignment="1">
      <alignment vertical="center"/>
    </xf>
    <xf numFmtId="0" fontId="66" fillId="0" borderId="9" xfId="0" applyFont="1" applyBorder="1" applyAlignment="1">
      <alignment vertical="center"/>
    </xf>
    <xf numFmtId="0" fontId="14" fillId="0" borderId="170" xfId="0" applyFont="1" applyBorder="1" applyAlignment="1">
      <alignment vertical="center"/>
    </xf>
    <xf numFmtId="0" fontId="14" fillId="0" borderId="228" xfId="0" applyFont="1" applyBorder="1" applyAlignment="1">
      <alignment horizontal="center" vertical="center"/>
    </xf>
    <xf numFmtId="0" fontId="14" fillId="0" borderId="227" xfId="0" applyFont="1" applyBorder="1" applyAlignment="1">
      <alignment horizontal="center" vertical="center"/>
    </xf>
    <xf numFmtId="0" fontId="2" fillId="0" borderId="229" xfId="0" applyFont="1" applyBorder="1" applyAlignment="1">
      <alignment vertical="center"/>
    </xf>
    <xf numFmtId="0" fontId="2" fillId="0" borderId="190" xfId="0" applyFont="1" applyBorder="1" applyAlignment="1">
      <alignment vertical="center"/>
    </xf>
    <xf numFmtId="0" fontId="0" fillId="11" borderId="28" xfId="0" applyFill="1" applyBorder="1" applyAlignment="1">
      <alignment horizontal="center" vertical="center"/>
    </xf>
    <xf numFmtId="0" fontId="0" fillId="11" borderId="27" xfId="0" applyFill="1" applyBorder="1" applyAlignment="1">
      <alignment horizontal="center" vertical="center"/>
    </xf>
    <xf numFmtId="9" fontId="0" fillId="0" borderId="29" xfId="0" applyNumberFormat="1" applyBorder="1" applyAlignment="1">
      <alignment horizontal="center" vertical="center"/>
    </xf>
    <xf numFmtId="9" fontId="0" fillId="0" borderId="23" xfId="0" applyNumberFormat="1" applyBorder="1" applyAlignment="1">
      <alignment horizontal="center" vertical="center"/>
    </xf>
    <xf numFmtId="0" fontId="0" fillId="11" borderId="59" xfId="0" applyFill="1" applyBorder="1" applyAlignment="1">
      <alignment horizontal="center" vertical="center"/>
    </xf>
    <xf numFmtId="9" fontId="0" fillId="0" borderId="32" xfId="0" applyNumberFormat="1" applyBorder="1" applyAlignment="1">
      <alignment horizontal="center" vertical="center"/>
    </xf>
    <xf numFmtId="9" fontId="0" fillId="0" borderId="30" xfId="0" applyNumberFormat="1" applyBorder="1" applyAlignment="1">
      <alignment horizontal="center" vertical="center"/>
    </xf>
    <xf numFmtId="0" fontId="13" fillId="0" borderId="0" xfId="0" applyFont="1"/>
    <xf numFmtId="0" fontId="0" fillId="0" borderId="23" xfId="0" applyBorder="1" applyAlignment="1">
      <alignment horizontal="center" vertical="center"/>
    </xf>
    <xf numFmtId="0" fontId="0" fillId="0" borderId="51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11" borderId="59" xfId="0" applyFill="1" applyBorder="1" applyAlignment="1">
      <alignment horizontal="center"/>
    </xf>
    <xf numFmtId="0" fontId="0" fillId="11" borderId="27" xfId="0" applyFill="1" applyBorder="1" applyAlignment="1">
      <alignment horizontal="center"/>
    </xf>
    <xf numFmtId="9" fontId="0" fillId="0" borderId="32" xfId="0" applyNumberFormat="1" applyBorder="1" applyAlignment="1">
      <alignment horizontal="center"/>
    </xf>
    <xf numFmtId="9" fontId="0" fillId="0" borderId="29" xfId="0" applyNumberFormat="1" applyBorder="1" applyAlignment="1">
      <alignment horizontal="center"/>
    </xf>
    <xf numFmtId="9" fontId="0" fillId="0" borderId="30" xfId="0" applyNumberFormat="1" applyBorder="1" applyAlignment="1">
      <alignment horizontal="center"/>
    </xf>
    <xf numFmtId="9" fontId="0" fillId="0" borderId="23" xfId="0" applyNumberFormat="1" applyBorder="1" applyAlignment="1">
      <alignment horizontal="center"/>
    </xf>
    <xf numFmtId="0" fontId="29" fillId="0" borderId="9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right" vertical="center"/>
    </xf>
    <xf numFmtId="0" fontId="50" fillId="0" borderId="0" xfId="0" applyFont="1" applyAlignment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10" fontId="2" fillId="0" borderId="0" xfId="0" applyNumberFormat="1" applyFont="1"/>
    <xf numFmtId="0" fontId="18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2" fillId="0" borderId="179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 wrapText="1"/>
    </xf>
    <xf numFmtId="0" fontId="18" fillId="0" borderId="78" xfId="0" applyFont="1" applyBorder="1" applyAlignment="1">
      <alignment horizontal="center" vertical="center" wrapText="1"/>
    </xf>
    <xf numFmtId="0" fontId="50" fillId="0" borderId="130" xfId="0" applyFont="1" applyBorder="1" applyAlignment="1">
      <alignment horizontal="center" vertical="center"/>
    </xf>
    <xf numFmtId="0" fontId="50" fillId="0" borderId="78" xfId="0" applyFont="1" applyBorder="1" applyAlignment="1">
      <alignment horizontal="center" vertical="center"/>
    </xf>
    <xf numFmtId="0" fontId="50" fillId="0" borderId="131" xfId="0" applyFont="1" applyBorder="1" applyAlignment="1">
      <alignment horizontal="center" vertical="center"/>
    </xf>
    <xf numFmtId="0" fontId="50" fillId="0" borderId="80" xfId="0" applyFont="1" applyBorder="1" applyAlignment="1">
      <alignment horizontal="center" vertical="center"/>
    </xf>
    <xf numFmtId="166" fontId="13" fillId="0" borderId="0" xfId="0" applyNumberFormat="1" applyFont="1" applyAlignment="1">
      <alignment horizontal="center" vertical="center"/>
    </xf>
    <xf numFmtId="0" fontId="69" fillId="0" borderId="0" xfId="0" applyFont="1" applyAlignment="1">
      <alignment vertical="center"/>
    </xf>
    <xf numFmtId="0" fontId="24" fillId="0" borderId="0" xfId="0" applyFont="1" applyAlignment="1">
      <alignment horizontal="center" vertical="center" wrapText="1"/>
    </xf>
    <xf numFmtId="0" fontId="0" fillId="0" borderId="93" xfId="0" applyBorder="1" applyAlignment="1">
      <alignment horizontal="center" vertical="center" wrapText="1"/>
    </xf>
    <xf numFmtId="0" fontId="0" fillId="10" borderId="91" xfId="0" applyFill="1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166" fontId="13" fillId="0" borderId="91" xfId="0" applyNumberFormat="1" applyFont="1" applyBorder="1" applyAlignment="1">
      <alignment horizontal="center" vertical="center"/>
    </xf>
    <xf numFmtId="0" fontId="13" fillId="0" borderId="91" xfId="0" applyFont="1" applyBorder="1" applyAlignment="1">
      <alignment horizontal="center" vertical="center"/>
    </xf>
    <xf numFmtId="0" fontId="13" fillId="0" borderId="94" xfId="0" applyFont="1" applyBorder="1" applyAlignment="1">
      <alignment horizontal="center" vertical="center"/>
    </xf>
    <xf numFmtId="0" fontId="0" fillId="0" borderId="93" xfId="0" applyBorder="1" applyAlignment="1">
      <alignment horizontal="center" vertical="center"/>
    </xf>
    <xf numFmtId="0" fontId="0" fillId="0" borderId="91" xfId="0" applyBorder="1" applyAlignment="1">
      <alignment horizontal="center" vertical="center" wrapText="1"/>
    </xf>
    <xf numFmtId="0" fontId="24" fillId="0" borderId="91" xfId="0" applyFont="1" applyBorder="1" applyAlignment="1">
      <alignment horizontal="center" vertical="center" wrapText="1"/>
    </xf>
    <xf numFmtId="0" fontId="0" fillId="0" borderId="95" xfId="0" applyBorder="1" applyAlignment="1">
      <alignment horizontal="center" vertical="center" wrapText="1"/>
    </xf>
    <xf numFmtId="0" fontId="0" fillId="10" borderId="96" xfId="0" applyFill="1" applyBorder="1" applyAlignment="1">
      <alignment horizontal="center" vertical="center"/>
    </xf>
    <xf numFmtId="0" fontId="0" fillId="0" borderId="96" xfId="0" applyBorder="1" applyAlignment="1">
      <alignment horizontal="center" vertical="center"/>
    </xf>
    <xf numFmtId="166" fontId="13" fillId="0" borderId="96" xfId="0" applyNumberFormat="1" applyFont="1" applyBorder="1" applyAlignment="1">
      <alignment horizontal="center" vertical="center"/>
    </xf>
    <xf numFmtId="0" fontId="0" fillId="0" borderId="96" xfId="0" applyBorder="1" applyAlignment="1">
      <alignment horizontal="center" vertical="center" wrapText="1"/>
    </xf>
    <xf numFmtId="0" fontId="13" fillId="0" borderId="96" xfId="0" applyFont="1" applyBorder="1" applyAlignment="1">
      <alignment horizontal="center" vertical="center"/>
    </xf>
    <xf numFmtId="0" fontId="24" fillId="0" borderId="96" xfId="0" applyFont="1" applyBorder="1" applyAlignment="1">
      <alignment horizontal="center" vertical="center" wrapText="1"/>
    </xf>
    <xf numFmtId="0" fontId="13" fillId="0" borderId="97" xfId="0" applyFont="1" applyBorder="1" applyAlignment="1">
      <alignment horizontal="center" vertical="center"/>
    </xf>
    <xf numFmtId="0" fontId="0" fillId="0" borderId="91" xfId="0" quotePrefix="1" applyBorder="1" applyAlignment="1">
      <alignment horizontal="center" vertical="center"/>
    </xf>
    <xf numFmtId="0" fontId="0" fillId="0" borderId="95" xfId="0" applyBorder="1" applyAlignment="1">
      <alignment horizontal="center" vertical="center"/>
    </xf>
    <xf numFmtId="0" fontId="0" fillId="11" borderId="19" xfId="0" applyFill="1" applyBorder="1" applyAlignment="1">
      <alignment horizontal="center" vertical="center" wrapText="1"/>
    </xf>
    <xf numFmtId="0" fontId="0" fillId="11" borderId="92" xfId="0" applyFill="1" applyBorder="1" applyAlignment="1">
      <alignment horizontal="center" vertical="center"/>
    </xf>
    <xf numFmtId="166" fontId="0" fillId="11" borderId="92" xfId="0" applyNumberFormat="1" applyFill="1" applyBorder="1" applyAlignment="1">
      <alignment horizontal="center" vertical="center"/>
    </xf>
    <xf numFmtId="0" fontId="0" fillId="11" borderId="20" xfId="0" applyFill="1" applyBorder="1" applyAlignment="1">
      <alignment horizontal="center" vertical="center"/>
    </xf>
    <xf numFmtId="0" fontId="0" fillId="11" borderId="19" xfId="0" applyFill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68" fillId="0" borderId="91" xfId="0" applyFont="1" applyBorder="1" applyAlignment="1">
      <alignment horizontal="center" vertical="center" wrapText="1"/>
    </xf>
    <xf numFmtId="0" fontId="24" fillId="11" borderId="92" xfId="0" applyFont="1" applyFill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10" borderId="232" xfId="0" applyFill="1" applyBorder="1" applyAlignment="1">
      <alignment horizontal="center" vertical="center"/>
    </xf>
    <xf numFmtId="0" fontId="0" fillId="0" borderId="232" xfId="0" applyBorder="1" applyAlignment="1">
      <alignment horizontal="center" vertical="center"/>
    </xf>
    <xf numFmtId="166" fontId="13" fillId="0" borderId="232" xfId="0" applyNumberFormat="1" applyFont="1" applyBorder="1" applyAlignment="1">
      <alignment horizontal="center" vertical="center"/>
    </xf>
    <xf numFmtId="0" fontId="13" fillId="0" borderId="232" xfId="0" applyFont="1" applyBorder="1" applyAlignment="1">
      <alignment horizontal="center" vertical="center"/>
    </xf>
    <xf numFmtId="0" fontId="0" fillId="10" borderId="32" xfId="0" applyFill="1" applyBorder="1" applyAlignment="1">
      <alignment horizontal="center" vertical="center"/>
    </xf>
    <xf numFmtId="166" fontId="13" fillId="0" borderId="32" xfId="0" applyNumberFormat="1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166" fontId="13" fillId="14" borderId="32" xfId="0" applyNumberFormat="1" applyFont="1" applyFill="1" applyBorder="1" applyAlignment="1">
      <alignment horizontal="center" vertical="center"/>
    </xf>
    <xf numFmtId="0" fontId="68" fillId="0" borderId="32" xfId="0" applyFont="1" applyBorder="1" applyAlignment="1">
      <alignment horizontal="center" vertical="center" wrapText="1"/>
    </xf>
    <xf numFmtId="0" fontId="0" fillId="10" borderId="123" xfId="0" applyFill="1" applyBorder="1" applyAlignment="1">
      <alignment horizontal="center" vertical="center"/>
    </xf>
    <xf numFmtId="0" fontId="0" fillId="0" borderId="123" xfId="0" applyBorder="1" applyAlignment="1">
      <alignment horizontal="center" vertical="center"/>
    </xf>
    <xf numFmtId="166" fontId="13" fillId="0" borderId="123" xfId="0" applyNumberFormat="1" applyFont="1" applyBorder="1" applyAlignment="1">
      <alignment horizontal="center" vertical="center"/>
    </xf>
    <xf numFmtId="0" fontId="24" fillId="0" borderId="123" xfId="0" applyFont="1" applyBorder="1" applyAlignment="1">
      <alignment horizontal="center" vertical="center" wrapText="1"/>
    </xf>
    <xf numFmtId="0" fontId="13" fillId="0" borderId="123" xfId="0" applyFont="1" applyBorder="1" applyAlignment="1">
      <alignment horizontal="center" vertical="center"/>
    </xf>
    <xf numFmtId="0" fontId="0" fillId="10" borderId="60" xfId="0" applyFill="1" applyBorder="1" applyAlignment="1">
      <alignment horizontal="center" vertical="center"/>
    </xf>
    <xf numFmtId="166" fontId="13" fillId="0" borderId="60" xfId="0" applyNumberFormat="1" applyFont="1" applyBorder="1" applyAlignment="1">
      <alignment horizontal="center" vertical="center"/>
    </xf>
    <xf numFmtId="0" fontId="13" fillId="0" borderId="60" xfId="0" applyFont="1" applyBorder="1" applyAlignment="1">
      <alignment horizontal="center" vertical="center"/>
    </xf>
    <xf numFmtId="166" fontId="13" fillId="0" borderId="42" xfId="0" applyNumberFormat="1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0" fillId="0" borderId="233" xfId="0" applyBorder="1" applyAlignment="1">
      <alignment horizontal="center" vertical="center" wrapText="1"/>
    </xf>
    <xf numFmtId="0" fontId="0" fillId="0" borderId="209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13" fillId="0" borderId="234" xfId="0" applyFont="1" applyBorder="1" applyAlignment="1">
      <alignment horizontal="center" vertical="center"/>
    </xf>
    <xf numFmtId="0" fontId="13" fillId="0" borderId="74" xfId="0" applyFont="1" applyBorder="1" applyAlignment="1">
      <alignment horizontal="center" vertical="center"/>
    </xf>
    <xf numFmtId="0" fontId="13" fillId="0" borderId="165" xfId="0" applyFont="1" applyBorder="1" applyAlignment="1">
      <alignment horizontal="center" vertical="center"/>
    </xf>
    <xf numFmtId="0" fontId="13" fillId="0" borderId="2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 wrapText="1"/>
    </xf>
    <xf numFmtId="0" fontId="0" fillId="10" borderId="30" xfId="0" applyFill="1" applyBorder="1" applyAlignment="1">
      <alignment horizontal="center" vertical="center"/>
    </xf>
    <xf numFmtId="166" fontId="13" fillId="0" borderId="30" xfId="0" applyNumberFormat="1" applyFont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166" fontId="0" fillId="11" borderId="92" xfId="0" applyNumberFormat="1" applyFill="1" applyBorder="1" applyAlignment="1">
      <alignment horizontal="center" vertical="center" wrapText="1"/>
    </xf>
    <xf numFmtId="0" fontId="0" fillId="11" borderId="0" xfId="0" applyFill="1" applyAlignment="1">
      <alignment horizontal="center" vertical="center"/>
    </xf>
    <xf numFmtId="0" fontId="0" fillId="0" borderId="29" xfId="0" applyBorder="1" applyAlignment="1">
      <alignment horizontal="center" vertical="center" wrapText="1"/>
    </xf>
    <xf numFmtId="166" fontId="0" fillId="0" borderId="32" xfId="0" applyNumberFormat="1" applyBorder="1" applyAlignment="1">
      <alignment horizontal="center" vertical="center"/>
    </xf>
    <xf numFmtId="166" fontId="0" fillId="0" borderId="30" xfId="0" applyNumberFormat="1" applyBorder="1" applyAlignment="1">
      <alignment horizontal="center" vertical="center"/>
    </xf>
    <xf numFmtId="1" fontId="0" fillId="0" borderId="69" xfId="0" applyNumberFormat="1" applyBorder="1" applyAlignment="1">
      <alignment horizontal="center" vertical="center"/>
    </xf>
    <xf numFmtId="1" fontId="0" fillId="0" borderId="61" xfId="0" applyNumberFormat="1" applyBorder="1" applyAlignment="1">
      <alignment horizontal="center" vertical="center"/>
    </xf>
    <xf numFmtId="0" fontId="0" fillId="7" borderId="125" xfId="0" applyFill="1" applyBorder="1" applyAlignment="1">
      <alignment horizontal="center" vertical="center"/>
    </xf>
    <xf numFmtId="0" fontId="0" fillId="7" borderId="35" xfId="0" applyFill="1" applyBorder="1" applyAlignment="1">
      <alignment horizontal="center" vertical="center" wrapText="1"/>
    </xf>
    <xf numFmtId="0" fontId="24" fillId="7" borderId="143" xfId="0" applyFont="1" applyFill="1" applyBorder="1" applyAlignment="1">
      <alignment horizontal="center" vertical="center" wrapText="1"/>
    </xf>
    <xf numFmtId="0" fontId="24" fillId="7" borderId="148" xfId="0" applyFont="1" applyFill="1" applyBorder="1" applyAlignment="1">
      <alignment horizontal="center" vertical="center" wrapText="1"/>
    </xf>
    <xf numFmtId="0" fontId="0" fillId="7" borderId="28" xfId="0" applyFill="1" applyBorder="1" applyAlignment="1">
      <alignment horizontal="center" vertical="center" wrapText="1"/>
    </xf>
    <xf numFmtId="0" fontId="0" fillId="7" borderId="59" xfId="0" applyFill="1" applyBorder="1" applyAlignment="1">
      <alignment horizontal="center" vertical="center" wrapText="1"/>
    </xf>
    <xf numFmtId="0" fontId="0" fillId="7" borderId="51" xfId="0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 wrapText="1"/>
    </xf>
    <xf numFmtId="0" fontId="0" fillId="7" borderId="30" xfId="0" applyFill="1" applyBorder="1" applyAlignment="1">
      <alignment horizontal="center" vertical="center"/>
    </xf>
    <xf numFmtId="0" fontId="0" fillId="7" borderId="59" xfId="0" applyFill="1" applyBorder="1" applyAlignment="1">
      <alignment horizontal="center" vertical="center"/>
    </xf>
    <xf numFmtId="0" fontId="0" fillId="7" borderId="27" xfId="0" applyFill="1" applyBorder="1" applyAlignment="1">
      <alignment horizontal="center" vertical="center"/>
    </xf>
    <xf numFmtId="0" fontId="0" fillId="7" borderId="123" xfId="0" applyFill="1" applyBorder="1" applyAlignment="1">
      <alignment horizontal="center" vertical="center"/>
    </xf>
    <xf numFmtId="0" fontId="0" fillId="7" borderId="124" xfId="0" applyFill="1" applyBorder="1" applyAlignment="1">
      <alignment horizontal="center" vertical="center"/>
    </xf>
    <xf numFmtId="166" fontId="0" fillId="7" borderId="235" xfId="0" applyNumberFormat="1" applyFill="1" applyBorder="1" applyAlignment="1">
      <alignment horizontal="center" vertical="center"/>
    </xf>
    <xf numFmtId="166" fontId="0" fillId="0" borderId="236" xfId="0" applyNumberFormat="1" applyBorder="1" applyAlignment="1">
      <alignment horizontal="center" vertical="center"/>
    </xf>
    <xf numFmtId="166" fontId="0" fillId="7" borderId="238" xfId="0" applyNumberFormat="1" applyFill="1" applyBorder="1" applyAlignment="1">
      <alignment horizontal="center" vertical="center"/>
    </xf>
    <xf numFmtId="166" fontId="0" fillId="0" borderId="239" xfId="0" applyNumberFormat="1" applyBorder="1" applyAlignment="1">
      <alignment horizontal="center" vertical="center"/>
    </xf>
    <xf numFmtId="0" fontId="0" fillId="7" borderId="125" xfId="0" applyFill="1" applyBorder="1" applyAlignment="1">
      <alignment horizontal="center" vertical="center" wrapText="1"/>
    </xf>
    <xf numFmtId="166" fontId="0" fillId="0" borderId="123" xfId="0" applyNumberFormat="1" applyBorder="1" applyAlignment="1">
      <alignment horizontal="center" vertical="center"/>
    </xf>
    <xf numFmtId="166" fontId="0" fillId="0" borderId="60" xfId="0" applyNumberFormat="1" applyBorder="1" applyAlignment="1">
      <alignment horizontal="center" vertical="center"/>
    </xf>
    <xf numFmtId="0" fontId="0" fillId="7" borderId="236" xfId="0" applyFill="1" applyBorder="1" applyAlignment="1">
      <alignment horizontal="center" vertical="center"/>
    </xf>
    <xf numFmtId="0" fontId="0" fillId="7" borderId="239" xfId="0" applyFill="1" applyBorder="1" applyAlignment="1">
      <alignment horizontal="center" vertical="center"/>
    </xf>
    <xf numFmtId="166" fontId="0" fillId="0" borderId="59" xfId="0" applyNumberFormat="1" applyBorder="1" applyAlignment="1">
      <alignment horizontal="center" vertical="center"/>
    </xf>
    <xf numFmtId="166" fontId="0" fillId="7" borderId="176" xfId="0" applyNumberFormat="1" applyFill="1" applyBorder="1" applyAlignment="1">
      <alignment horizontal="center" vertical="center"/>
    </xf>
    <xf numFmtId="166" fontId="0" fillId="7" borderId="125" xfId="0" applyNumberFormat="1" applyFill="1" applyBorder="1" applyAlignment="1">
      <alignment horizontal="center" vertical="center"/>
    </xf>
    <xf numFmtId="0" fontId="0" fillId="7" borderId="235" xfId="0" applyFill="1" applyBorder="1" applyAlignment="1">
      <alignment horizontal="center" vertical="center" wrapText="1"/>
    </xf>
    <xf numFmtId="0" fontId="0" fillId="7" borderId="144" xfId="0" applyFill="1" applyBorder="1" applyAlignment="1">
      <alignment horizontal="center" vertical="center" wrapText="1"/>
    </xf>
    <xf numFmtId="0" fontId="0" fillId="7" borderId="60" xfId="0" applyFill="1" applyBorder="1" applyAlignment="1">
      <alignment horizontal="center" vertical="center"/>
    </xf>
    <xf numFmtId="166" fontId="0" fillId="7" borderId="144" xfId="0" applyNumberFormat="1" applyFill="1" applyBorder="1" applyAlignment="1">
      <alignment horizontal="center" vertical="center"/>
    </xf>
    <xf numFmtId="1" fontId="0" fillId="0" borderId="29" xfId="0" applyNumberFormat="1" applyBorder="1" applyAlignment="1">
      <alignment horizontal="center" vertical="center" wrapText="1"/>
    </xf>
    <xf numFmtId="1" fontId="0" fillId="0" borderId="29" xfId="0" applyNumberFormat="1" applyBorder="1" applyAlignment="1">
      <alignment horizontal="center" vertical="center"/>
    </xf>
    <xf numFmtId="1" fontId="0" fillId="0" borderId="124" xfId="0" applyNumberFormat="1" applyBorder="1" applyAlignment="1">
      <alignment horizontal="center" vertical="center"/>
    </xf>
    <xf numFmtId="1" fontId="0" fillId="0" borderId="73" xfId="0" applyNumberFormat="1" applyBorder="1" applyAlignment="1">
      <alignment horizontal="center" vertical="center"/>
    </xf>
    <xf numFmtId="1" fontId="0" fillId="0" borderId="237" xfId="0" applyNumberFormat="1" applyBorder="1" applyAlignment="1">
      <alignment horizontal="center" vertical="center"/>
    </xf>
    <xf numFmtId="1" fontId="0" fillId="0" borderId="240" xfId="0" applyNumberFormat="1" applyBorder="1" applyAlignment="1">
      <alignment horizontal="center" vertical="center"/>
    </xf>
    <xf numFmtId="0" fontId="0" fillId="0" borderId="237" xfId="0" applyBorder="1" applyAlignment="1">
      <alignment horizontal="center" vertical="center" wrapText="1"/>
    </xf>
    <xf numFmtId="165" fontId="0" fillId="0" borderId="236" xfId="0" applyNumberFormat="1" applyBorder="1" applyAlignment="1">
      <alignment horizontal="center" vertical="center"/>
    </xf>
    <xf numFmtId="166" fontId="0" fillId="7" borderId="59" xfId="0" applyNumberFormat="1" applyFill="1" applyBorder="1" applyAlignment="1">
      <alignment horizontal="center" vertical="center"/>
    </xf>
    <xf numFmtId="166" fontId="0" fillId="7" borderId="236" xfId="0" applyNumberFormat="1" applyFill="1" applyBorder="1" applyAlignment="1">
      <alignment horizontal="center" vertical="center"/>
    </xf>
    <xf numFmtId="166" fontId="0" fillId="7" borderId="239" xfId="0" applyNumberFormat="1" applyFill="1" applyBorder="1" applyAlignment="1">
      <alignment horizontal="center" vertical="center"/>
    </xf>
    <xf numFmtId="1" fontId="0" fillId="0" borderId="59" xfId="0" applyNumberFormat="1" applyBorder="1" applyAlignment="1">
      <alignment horizontal="center" vertical="center"/>
    </xf>
    <xf numFmtId="1" fontId="0" fillId="0" borderId="236" xfId="0" applyNumberFormat="1" applyBorder="1" applyAlignment="1">
      <alignment horizontal="center" vertical="center"/>
    </xf>
    <xf numFmtId="1" fontId="0" fillId="0" borderId="239" xfId="0" applyNumberFormat="1" applyBorder="1" applyAlignment="1">
      <alignment horizontal="center" vertical="center"/>
    </xf>
    <xf numFmtId="166" fontId="0" fillId="7" borderId="102" xfId="0" applyNumberFormat="1" applyFill="1" applyBorder="1" applyAlignment="1">
      <alignment horizontal="center" vertical="center"/>
    </xf>
    <xf numFmtId="166" fontId="0" fillId="0" borderId="113" xfId="0" applyNumberFormat="1" applyBorder="1" applyAlignment="1">
      <alignment horizontal="center" vertical="center"/>
    </xf>
    <xf numFmtId="1" fontId="0" fillId="0" borderId="103" xfId="0" applyNumberFormat="1" applyBorder="1" applyAlignment="1">
      <alignment horizontal="center" vertical="center"/>
    </xf>
    <xf numFmtId="166" fontId="0" fillId="7" borderId="104" xfId="0" applyNumberFormat="1" applyFill="1" applyBorder="1" applyAlignment="1">
      <alignment horizontal="center" vertical="center"/>
    </xf>
    <xf numFmtId="1" fontId="0" fillId="0" borderId="105" xfId="0" applyNumberFormat="1" applyBorder="1" applyAlignment="1">
      <alignment horizontal="center" vertical="center"/>
    </xf>
    <xf numFmtId="166" fontId="0" fillId="7" borderId="106" xfId="0" applyNumberFormat="1" applyFill="1" applyBorder="1" applyAlignment="1">
      <alignment horizontal="center" vertical="center"/>
    </xf>
    <xf numFmtId="166" fontId="0" fillId="0" borderId="114" xfId="0" applyNumberFormat="1" applyBorder="1" applyAlignment="1">
      <alignment horizontal="center" vertical="center"/>
    </xf>
    <xf numFmtId="1" fontId="0" fillId="0" borderId="107" xfId="0" applyNumberFormat="1" applyBorder="1" applyAlignment="1">
      <alignment horizontal="center" vertical="center"/>
    </xf>
    <xf numFmtId="166" fontId="0" fillId="7" borderId="51" xfId="0" applyNumberFormat="1" applyFill="1" applyBorder="1" applyAlignment="1">
      <alignment horizontal="center" vertical="center"/>
    </xf>
    <xf numFmtId="0" fontId="0" fillId="7" borderId="102" xfId="0" applyFill="1" applyBorder="1" applyAlignment="1">
      <alignment horizontal="center" vertical="center" wrapText="1"/>
    </xf>
    <xf numFmtId="0" fontId="0" fillId="7" borderId="113" xfId="0" applyFill="1" applyBorder="1" applyAlignment="1">
      <alignment horizontal="center" vertical="center"/>
    </xf>
    <xf numFmtId="0" fontId="0" fillId="7" borderId="104" xfId="0" applyFill="1" applyBorder="1" applyAlignment="1">
      <alignment horizontal="center" vertical="center" wrapText="1"/>
    </xf>
    <xf numFmtId="9" fontId="0" fillId="0" borderId="236" xfId="0" applyNumberFormat="1" applyBorder="1" applyAlignment="1">
      <alignment horizontal="center" vertical="center"/>
    </xf>
    <xf numFmtId="166" fontId="0" fillId="0" borderId="237" xfId="0" applyNumberFormat="1" applyBorder="1" applyAlignment="1">
      <alignment horizontal="center" vertical="center"/>
    </xf>
    <xf numFmtId="166" fontId="0" fillId="7" borderId="24" xfId="0" applyNumberFormat="1" applyFill="1" applyBorder="1" applyAlignment="1">
      <alignment horizontal="center" vertical="center"/>
    </xf>
    <xf numFmtId="166" fontId="0" fillId="0" borderId="124" xfId="0" applyNumberFormat="1" applyBorder="1" applyAlignment="1">
      <alignment horizontal="center" vertical="center"/>
    </xf>
    <xf numFmtId="166" fontId="0" fillId="0" borderId="61" xfId="0" applyNumberFormat="1" applyBorder="1" applyAlignment="1">
      <alignment horizontal="center" vertical="center"/>
    </xf>
    <xf numFmtId="0" fontId="0" fillId="7" borderId="241" xfId="0" applyFill="1" applyBorder="1" applyAlignment="1">
      <alignment horizontal="center" vertical="center" wrapText="1"/>
    </xf>
    <xf numFmtId="9" fontId="0" fillId="0" borderId="239" xfId="0" applyNumberFormat="1" applyBorder="1" applyAlignment="1">
      <alignment horizontal="center" vertical="center"/>
    </xf>
    <xf numFmtId="1" fontId="0" fillId="0" borderId="242" xfId="0" applyNumberFormat="1" applyBorder="1" applyAlignment="1">
      <alignment horizontal="center" vertical="center"/>
    </xf>
    <xf numFmtId="1" fontId="0" fillId="0" borderId="60" xfId="0" applyNumberFormat="1" applyBorder="1" applyAlignment="1">
      <alignment horizontal="center" vertical="center"/>
    </xf>
    <xf numFmtId="0" fontId="0" fillId="7" borderId="238" xfId="0" applyFill="1" applyBorder="1" applyAlignment="1">
      <alignment horizontal="center" vertical="center" wrapText="1"/>
    </xf>
    <xf numFmtId="1" fontId="0" fillId="0" borderId="243" xfId="0" applyNumberFormat="1" applyBorder="1" applyAlignment="1">
      <alignment horizontal="center" vertical="center"/>
    </xf>
    <xf numFmtId="0" fontId="0" fillId="0" borderId="42" xfId="0" applyBorder="1"/>
    <xf numFmtId="10" fontId="54" fillId="0" borderId="61" xfId="0" applyNumberFormat="1" applyFont="1" applyBorder="1" applyAlignment="1">
      <alignment horizontal="center" vertical="center"/>
    </xf>
    <xf numFmtId="2" fontId="54" fillId="0" borderId="66" xfId="0" applyNumberFormat="1" applyFont="1" applyBorder="1" applyAlignment="1">
      <alignment horizontal="center" vertical="center"/>
    </xf>
    <xf numFmtId="165" fontId="54" fillId="0" borderId="66" xfId="0" applyNumberFormat="1" applyFont="1" applyBorder="1" applyAlignment="1">
      <alignment horizontal="center" vertical="center"/>
    </xf>
    <xf numFmtId="10" fontId="54" fillId="0" borderId="240" xfId="0" applyNumberFormat="1" applyFont="1" applyBorder="1" applyAlignment="1">
      <alignment horizontal="center" vertical="center"/>
    </xf>
    <xf numFmtId="167" fontId="54" fillId="0" borderId="240" xfId="0" applyNumberFormat="1" applyFont="1" applyBorder="1" applyAlignment="1">
      <alignment horizontal="center" vertical="center"/>
    </xf>
    <xf numFmtId="10" fontId="54" fillId="0" borderId="68" xfId="0" applyNumberFormat="1" applyFont="1" applyBorder="1" applyAlignment="1">
      <alignment horizontal="center" vertical="center"/>
    </xf>
    <xf numFmtId="10" fontId="54" fillId="0" borderId="66" xfId="0" applyNumberFormat="1" applyFont="1" applyBorder="1" applyAlignment="1">
      <alignment horizontal="center" vertical="center"/>
    </xf>
    <xf numFmtId="167" fontId="54" fillId="0" borderId="66" xfId="0" applyNumberFormat="1" applyFont="1" applyBorder="1" applyAlignment="1">
      <alignment horizontal="center" vertical="center"/>
    </xf>
    <xf numFmtId="167" fontId="54" fillId="0" borderId="68" xfId="0" applyNumberFormat="1" applyFont="1" applyBorder="1" applyAlignment="1">
      <alignment horizontal="center" vertical="center"/>
    </xf>
    <xf numFmtId="2" fontId="54" fillId="0" borderId="66" xfId="0" applyNumberFormat="1" applyFont="1" applyBorder="1" applyAlignment="1">
      <alignment horizontal="center"/>
    </xf>
    <xf numFmtId="10" fontId="54" fillId="0" borderId="240" xfId="0" applyNumberFormat="1" applyFont="1" applyBorder="1" applyAlignment="1">
      <alignment horizontal="center"/>
    </xf>
    <xf numFmtId="10" fontId="54" fillId="0" borderId="61" xfId="0" applyNumberFormat="1" applyFont="1" applyBorder="1" applyAlignment="1">
      <alignment horizontal="center"/>
    </xf>
    <xf numFmtId="0" fontId="50" fillId="0" borderId="130" xfId="2" applyNumberFormat="1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50" fillId="0" borderId="131" xfId="2" applyNumberFormat="1" applyFont="1" applyFill="1" applyBorder="1" applyAlignment="1">
      <alignment horizontal="center" vertical="center"/>
    </xf>
    <xf numFmtId="0" fontId="50" fillId="0" borderId="79" xfId="0" applyFont="1" applyBorder="1" applyAlignment="1">
      <alignment horizontal="center" vertical="center"/>
    </xf>
    <xf numFmtId="0" fontId="0" fillId="0" borderId="39" xfId="0" applyBorder="1"/>
    <xf numFmtId="166" fontId="0" fillId="7" borderId="28" xfId="0" applyNumberFormat="1" applyFill="1" applyBorder="1" applyAlignment="1">
      <alignment horizontal="center" vertical="center"/>
    </xf>
    <xf numFmtId="166" fontId="0" fillId="0" borderId="27" xfId="0" applyNumberFormat="1" applyBorder="1" applyAlignment="1">
      <alignment horizontal="center" vertical="center"/>
    </xf>
    <xf numFmtId="0" fontId="2" fillId="0" borderId="171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0" fillId="8" borderId="0" xfId="0" applyFill="1" applyAlignment="1">
      <alignment horizontal="left"/>
    </xf>
    <xf numFmtId="0" fontId="18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 wrapText="1"/>
    </xf>
    <xf numFmtId="0" fontId="18" fillId="0" borderId="136" xfId="0" applyFont="1" applyBorder="1" applyAlignment="1">
      <alignment horizontal="center" vertical="center" wrapText="1"/>
    </xf>
    <xf numFmtId="0" fontId="24" fillId="8" borderId="237" xfId="0" applyFont="1" applyFill="1" applyBorder="1" applyAlignment="1">
      <alignment horizontal="center" vertical="center"/>
    </xf>
    <xf numFmtId="0" fontId="24" fillId="8" borderId="235" xfId="0" applyFont="1" applyFill="1" applyBorder="1" applyAlignment="1">
      <alignment horizontal="center" vertical="center"/>
    </xf>
    <xf numFmtId="0" fontId="24" fillId="8" borderId="236" xfId="0" applyFont="1" applyFill="1" applyBorder="1" applyAlignment="1">
      <alignment horizontal="center" vertical="center"/>
    </xf>
    <xf numFmtId="10" fontId="24" fillId="8" borderId="236" xfId="0" applyNumberFormat="1" applyFont="1" applyFill="1" applyBorder="1" applyAlignment="1">
      <alignment horizontal="center" vertical="center"/>
    </xf>
    <xf numFmtId="0" fontId="0" fillId="8" borderId="236" xfId="0" applyFill="1" applyBorder="1" applyAlignment="1">
      <alignment horizontal="center" vertical="center"/>
    </xf>
    <xf numFmtId="10" fontId="24" fillId="8" borderId="237" xfId="0" applyNumberFormat="1" applyFont="1" applyFill="1" applyBorder="1" applyAlignment="1">
      <alignment horizontal="center" vertical="center"/>
    </xf>
    <xf numFmtId="10" fontId="24" fillId="8" borderId="235" xfId="0" applyNumberFormat="1" applyFont="1" applyFill="1" applyBorder="1" applyAlignment="1">
      <alignment horizontal="center" vertical="center"/>
    </xf>
    <xf numFmtId="0" fontId="35" fillId="11" borderId="33" xfId="0" applyFont="1" applyFill="1" applyBorder="1" applyAlignment="1">
      <alignment horizontal="center" vertical="center"/>
    </xf>
    <xf numFmtId="10" fontId="35" fillId="11" borderId="62" xfId="0" applyNumberFormat="1" applyFont="1" applyFill="1" applyBorder="1" applyAlignment="1">
      <alignment horizontal="center" vertical="center"/>
    </xf>
    <xf numFmtId="0" fontId="35" fillId="11" borderId="63" xfId="0" applyFont="1" applyFill="1" applyBorder="1" applyAlignment="1">
      <alignment horizontal="center" vertical="center"/>
    </xf>
    <xf numFmtId="0" fontId="24" fillId="8" borderId="71" xfId="0" applyFont="1" applyFill="1" applyBorder="1" applyAlignment="1">
      <alignment horizontal="center" vertical="center"/>
    </xf>
    <xf numFmtId="10" fontId="24" fillId="8" borderId="65" xfId="0" applyNumberFormat="1" applyFont="1" applyFill="1" applyBorder="1" applyAlignment="1">
      <alignment horizontal="center" vertical="center"/>
    </xf>
    <xf numFmtId="0" fontId="24" fillId="8" borderId="244" xfId="0" applyFont="1" applyFill="1" applyBorder="1" applyAlignment="1">
      <alignment horizontal="center" vertical="center"/>
    </xf>
    <xf numFmtId="0" fontId="24" fillId="8" borderId="0" xfId="0" applyFont="1" applyFill="1" applyAlignment="1">
      <alignment horizontal="center" vertical="center"/>
    </xf>
    <xf numFmtId="10" fontId="24" fillId="8" borderId="0" xfId="0" applyNumberFormat="1" applyFont="1" applyFill="1" applyAlignment="1">
      <alignment horizontal="center" vertical="center"/>
    </xf>
    <xf numFmtId="0" fontId="24" fillId="8" borderId="33" xfId="0" applyFont="1" applyFill="1" applyBorder="1" applyAlignment="1">
      <alignment horizontal="center" vertical="center"/>
    </xf>
    <xf numFmtId="10" fontId="24" fillId="8" borderId="125" xfId="0" applyNumberFormat="1" applyFont="1" applyFill="1" applyBorder="1" applyAlignment="1">
      <alignment horizontal="center" vertical="center"/>
    </xf>
    <xf numFmtId="10" fontId="24" fillId="8" borderId="124" xfId="0" applyNumberFormat="1" applyFont="1" applyFill="1" applyBorder="1" applyAlignment="1">
      <alignment horizontal="center" vertical="center"/>
    </xf>
    <xf numFmtId="0" fontId="24" fillId="8" borderId="124" xfId="0" applyFont="1" applyFill="1" applyBorder="1" applyAlignment="1">
      <alignment horizontal="center" vertical="center"/>
    </xf>
    <xf numFmtId="0" fontId="24" fillId="8" borderId="123" xfId="0" applyFont="1" applyFill="1" applyBorder="1" applyAlignment="1">
      <alignment horizontal="center" vertical="center"/>
    </xf>
    <xf numFmtId="0" fontId="24" fillId="8" borderId="166" xfId="0" applyFont="1" applyFill="1" applyBorder="1" applyAlignment="1">
      <alignment horizontal="center" vertical="center"/>
    </xf>
    <xf numFmtId="10" fontId="24" fillId="8" borderId="62" xfId="0" applyNumberFormat="1" applyFont="1" applyFill="1" applyBorder="1" applyAlignment="1">
      <alignment horizontal="center" vertical="center"/>
    </xf>
    <xf numFmtId="10" fontId="24" fillId="8" borderId="166" xfId="0" applyNumberFormat="1" applyFont="1" applyFill="1" applyBorder="1" applyAlignment="1">
      <alignment horizontal="center" vertical="center"/>
    </xf>
    <xf numFmtId="0" fontId="24" fillId="8" borderId="63" xfId="0" applyFont="1" applyFill="1" applyBorder="1" applyAlignment="1">
      <alignment horizontal="center" vertical="center"/>
    </xf>
    <xf numFmtId="0" fontId="24" fillId="11" borderId="125" xfId="0" applyFont="1" applyFill="1" applyBorder="1" applyAlignment="1">
      <alignment horizontal="center" vertical="center"/>
    </xf>
    <xf numFmtId="10" fontId="24" fillId="11" borderId="123" xfId="0" applyNumberFormat="1" applyFont="1" applyFill="1" applyBorder="1" applyAlignment="1">
      <alignment horizontal="center" vertical="center"/>
    </xf>
    <xf numFmtId="0" fontId="24" fillId="11" borderId="123" xfId="0" applyFont="1" applyFill="1" applyBorder="1" applyAlignment="1">
      <alignment horizontal="center" vertical="center"/>
    </xf>
    <xf numFmtId="0" fontId="24" fillId="11" borderId="124" xfId="0" applyFont="1" applyFill="1" applyBorder="1" applyAlignment="1">
      <alignment horizontal="center" vertical="center"/>
    </xf>
    <xf numFmtId="10" fontId="24" fillId="8" borderId="60" xfId="0" applyNumberFormat="1" applyFont="1" applyFill="1" applyBorder="1" applyAlignment="1">
      <alignment horizontal="center" vertical="center"/>
    </xf>
    <xf numFmtId="10" fontId="24" fillId="8" borderId="123" xfId="0" applyNumberFormat="1" applyFont="1" applyFill="1" applyBorder="1" applyAlignment="1">
      <alignment horizontal="center" vertical="center"/>
    </xf>
    <xf numFmtId="9" fontId="24" fillId="8" borderId="0" xfId="0" applyNumberFormat="1" applyFont="1" applyFill="1" applyAlignment="1">
      <alignment horizontal="center" vertical="center"/>
    </xf>
    <xf numFmtId="0" fontId="24" fillId="8" borderId="220" xfId="0" applyFont="1" applyFill="1" applyBorder="1" applyAlignment="1">
      <alignment horizontal="center" vertical="center"/>
    </xf>
    <xf numFmtId="10" fontId="24" fillId="8" borderId="211" xfId="0" applyNumberFormat="1" applyFont="1" applyFill="1" applyBorder="1" applyAlignment="1">
      <alignment horizontal="center" vertical="center"/>
    </xf>
    <xf numFmtId="0" fontId="24" fillId="8" borderId="211" xfId="0" applyFont="1" applyFill="1" applyBorder="1" applyAlignment="1">
      <alignment horizontal="center" vertical="center"/>
    </xf>
    <xf numFmtId="9" fontId="24" fillId="8" borderId="211" xfId="0" applyNumberFormat="1" applyFont="1" applyFill="1" applyBorder="1" applyAlignment="1">
      <alignment horizontal="center" vertical="center"/>
    </xf>
    <xf numFmtId="0" fontId="24" fillId="8" borderId="221" xfId="0" applyFont="1" applyFill="1" applyBorder="1" applyAlignment="1">
      <alignment horizontal="center" vertical="center"/>
    </xf>
    <xf numFmtId="2" fontId="24" fillId="8" borderId="211" xfId="0" applyNumberFormat="1" applyFont="1" applyFill="1" applyBorder="1" applyAlignment="1">
      <alignment horizontal="center" vertical="center"/>
    </xf>
    <xf numFmtId="0" fontId="0" fillId="8" borderId="60" xfId="0" applyFill="1" applyBorder="1" applyAlignment="1">
      <alignment horizontal="center" vertical="center"/>
    </xf>
    <xf numFmtId="10" fontId="24" fillId="8" borderId="41" xfId="0" applyNumberFormat="1" applyFont="1" applyFill="1" applyBorder="1" applyAlignment="1">
      <alignment horizontal="center" vertical="center"/>
    </xf>
    <xf numFmtId="0" fontId="24" fillId="8" borderId="41" xfId="0" applyFont="1" applyFill="1" applyBorder="1" applyAlignment="1">
      <alignment horizontal="center" vertical="center"/>
    </xf>
    <xf numFmtId="9" fontId="24" fillId="8" borderId="41" xfId="0" applyNumberFormat="1" applyFont="1" applyFill="1" applyBorder="1" applyAlignment="1">
      <alignment horizontal="center" vertical="center"/>
    </xf>
    <xf numFmtId="0" fontId="24" fillId="8" borderId="72" xfId="0" applyFont="1" applyFill="1" applyBorder="1" applyAlignment="1">
      <alignment horizontal="center" vertical="center"/>
    </xf>
    <xf numFmtId="0" fontId="24" fillId="8" borderId="74" xfId="0" applyFont="1" applyFill="1" applyBorder="1" applyAlignment="1">
      <alignment horizontal="center" vertical="center"/>
    </xf>
    <xf numFmtId="0" fontId="24" fillId="8" borderId="209" xfId="0" applyFont="1" applyFill="1" applyBorder="1" applyAlignment="1">
      <alignment horizontal="center" vertical="center"/>
    </xf>
    <xf numFmtId="0" fontId="24" fillId="8" borderId="165" xfId="0" applyFont="1" applyFill="1" applyBorder="1" applyAlignment="1">
      <alignment horizontal="center" vertical="center"/>
    </xf>
    <xf numFmtId="0" fontId="24" fillId="8" borderId="44" xfId="0" applyFont="1" applyFill="1" applyBorder="1" applyAlignment="1">
      <alignment horizontal="center" vertical="center"/>
    </xf>
    <xf numFmtId="10" fontId="24" fillId="8" borderId="175" xfId="0" applyNumberFormat="1" applyFont="1" applyFill="1" applyBorder="1" applyAlignment="1">
      <alignment horizontal="center" vertical="center"/>
    </xf>
    <xf numFmtId="0" fontId="24" fillId="8" borderId="175" xfId="0" applyFont="1" applyFill="1" applyBorder="1" applyAlignment="1">
      <alignment horizontal="center" vertical="center"/>
    </xf>
    <xf numFmtId="9" fontId="24" fillId="8" borderId="175" xfId="0" applyNumberFormat="1" applyFont="1" applyFill="1" applyBorder="1" applyAlignment="1">
      <alignment horizontal="center" vertical="center"/>
    </xf>
    <xf numFmtId="0" fontId="24" fillId="8" borderId="43" xfId="0" applyFont="1" applyFill="1" applyBorder="1" applyAlignment="1">
      <alignment horizontal="center" vertical="center"/>
    </xf>
    <xf numFmtId="0" fontId="71" fillId="0" borderId="14" xfId="0" applyFont="1" applyBorder="1" applyAlignment="1" applyProtection="1">
      <alignment horizontal="center" vertical="center"/>
      <protection locked="0"/>
    </xf>
    <xf numFmtId="0" fontId="2" fillId="0" borderId="135" xfId="0" applyFont="1" applyBorder="1" applyAlignment="1">
      <alignment horizontal="left" vertical="center"/>
    </xf>
    <xf numFmtId="0" fontId="2" fillId="0" borderId="215" xfId="0" applyFont="1" applyBorder="1" applyAlignment="1">
      <alignment horizontal="left" vertical="center"/>
    </xf>
    <xf numFmtId="0" fontId="2" fillId="0" borderId="246" xfId="0" applyFont="1" applyBorder="1" applyAlignment="1">
      <alignment horizontal="center" vertical="center"/>
    </xf>
    <xf numFmtId="0" fontId="2" fillId="0" borderId="247" xfId="0" applyFont="1" applyBorder="1" applyAlignment="1">
      <alignment horizontal="center" vertical="center"/>
    </xf>
    <xf numFmtId="0" fontId="2" fillId="0" borderId="248" xfId="0" applyFont="1" applyBorder="1" applyAlignment="1">
      <alignment horizontal="center" vertical="center"/>
    </xf>
    <xf numFmtId="0" fontId="2" fillId="0" borderId="133" xfId="0" applyFont="1" applyBorder="1" applyAlignment="1">
      <alignment horizontal="left" vertical="center"/>
    </xf>
    <xf numFmtId="0" fontId="71" fillId="0" borderId="222" xfId="0" applyFont="1" applyBorder="1" applyAlignment="1" applyProtection="1">
      <alignment horizontal="center" vertical="center"/>
      <protection locked="0"/>
    </xf>
    <xf numFmtId="0" fontId="71" fillId="0" borderId="224" xfId="0" applyFont="1" applyBorder="1" applyAlignment="1" applyProtection="1">
      <alignment horizontal="center" vertical="center"/>
      <protection locked="0"/>
    </xf>
    <xf numFmtId="10" fontId="71" fillId="0" borderId="14" xfId="0" applyNumberFormat="1" applyFont="1" applyBorder="1" applyAlignment="1" applyProtection="1">
      <alignment horizontal="center" vertical="center"/>
      <protection locked="0"/>
    </xf>
    <xf numFmtId="166" fontId="71" fillId="0" borderId="14" xfId="0" applyNumberFormat="1" applyFont="1" applyBorder="1" applyAlignment="1" applyProtection="1">
      <alignment horizontal="center" vertical="center"/>
      <protection locked="0"/>
    </xf>
    <xf numFmtId="0" fontId="71" fillId="0" borderId="172" xfId="0" applyFont="1" applyBorder="1" applyAlignment="1" applyProtection="1">
      <alignment vertical="center"/>
      <protection locked="0"/>
    </xf>
    <xf numFmtId="0" fontId="71" fillId="0" borderId="173" xfId="0" applyFont="1" applyBorder="1" applyAlignment="1" applyProtection="1">
      <alignment vertical="center"/>
      <protection locked="0"/>
    </xf>
    <xf numFmtId="0" fontId="71" fillId="0" borderId="14" xfId="0" applyFont="1" applyBorder="1" applyAlignment="1" applyProtection="1">
      <alignment vertical="center"/>
      <protection locked="0"/>
    </xf>
    <xf numFmtId="0" fontId="71" fillId="0" borderId="170" xfId="0" applyFont="1" applyBorder="1" applyAlignment="1" applyProtection="1">
      <alignment vertical="center"/>
      <protection locked="0"/>
    </xf>
    <xf numFmtId="0" fontId="71" fillId="0" borderId="170" xfId="0" applyFont="1" applyBorder="1" applyAlignment="1" applyProtection="1">
      <alignment horizontal="center" vertical="center"/>
      <protection locked="0"/>
    </xf>
    <xf numFmtId="0" fontId="71" fillId="0" borderId="225" xfId="0" applyFont="1" applyBorder="1" applyAlignment="1" applyProtection="1">
      <alignment horizontal="center" vertical="center"/>
      <protection locked="0"/>
    </xf>
    <xf numFmtId="0" fontId="71" fillId="0" borderId="171" xfId="0" applyFont="1" applyBorder="1" applyAlignment="1" applyProtection="1">
      <alignment horizontal="center" vertical="center"/>
      <protection locked="0"/>
    </xf>
    <xf numFmtId="0" fontId="71" fillId="0" borderId="223" xfId="0" applyFont="1" applyBorder="1" applyAlignment="1" applyProtection="1">
      <alignment horizontal="center" vertical="center"/>
      <protection locked="0"/>
    </xf>
    <xf numFmtId="166" fontId="71" fillId="0" borderId="170" xfId="0" applyNumberFormat="1" applyFont="1" applyBorder="1" applyAlignment="1" applyProtection="1">
      <alignment horizontal="center" vertical="center"/>
      <protection locked="0"/>
    </xf>
    <xf numFmtId="10" fontId="71" fillId="0" borderId="170" xfId="0" applyNumberFormat="1" applyFont="1" applyBorder="1" applyAlignment="1" applyProtection="1">
      <alignment horizontal="center" vertical="center"/>
      <protection locked="0"/>
    </xf>
    <xf numFmtId="166" fontId="71" fillId="0" borderId="224" xfId="0" applyNumberFormat="1" applyFont="1" applyBorder="1" applyAlignment="1" applyProtection="1">
      <alignment horizontal="center" vertical="center"/>
      <protection locked="0"/>
    </xf>
    <xf numFmtId="166" fontId="71" fillId="0" borderId="225" xfId="0" applyNumberFormat="1" applyFont="1" applyBorder="1" applyAlignment="1" applyProtection="1">
      <alignment horizontal="center" vertical="center"/>
      <protection locked="0"/>
    </xf>
    <xf numFmtId="10" fontId="71" fillId="0" borderId="172" xfId="0" applyNumberFormat="1" applyFont="1" applyBorder="1" applyAlignment="1" applyProtection="1">
      <alignment horizontal="center" vertical="center"/>
      <protection locked="0"/>
    </xf>
    <xf numFmtId="166" fontId="71" fillId="0" borderId="172" xfId="0" applyNumberFormat="1" applyFont="1" applyBorder="1" applyAlignment="1" applyProtection="1">
      <alignment horizontal="center" vertical="center"/>
      <protection locked="0"/>
    </xf>
    <xf numFmtId="166" fontId="71" fillId="0" borderId="173" xfId="0" applyNumberFormat="1" applyFont="1" applyBorder="1" applyAlignment="1" applyProtection="1">
      <alignment horizontal="center" vertical="center"/>
      <protection locked="0"/>
    </xf>
    <xf numFmtId="166" fontId="71" fillId="0" borderId="12" xfId="0" applyNumberFormat="1" applyFont="1" applyBorder="1" applyAlignment="1" applyProtection="1">
      <alignment horizontal="center" vertical="center"/>
      <protection locked="0"/>
    </xf>
    <xf numFmtId="0" fontId="13" fillId="7" borderId="0" xfId="0" applyFont="1" applyFill="1" applyAlignment="1">
      <alignment horizontal="center" vertical="center"/>
    </xf>
    <xf numFmtId="10" fontId="71" fillId="0" borderId="222" xfId="0" applyNumberFormat="1" applyFont="1" applyBorder="1" applyAlignment="1" applyProtection="1">
      <alignment horizontal="center" vertical="center"/>
      <protection locked="0"/>
    </xf>
    <xf numFmtId="10" fontId="71" fillId="0" borderId="171" xfId="0" applyNumberFormat="1" applyFont="1" applyBorder="1" applyAlignment="1" applyProtection="1">
      <alignment horizontal="center" vertical="center"/>
      <protection locked="0"/>
    </xf>
    <xf numFmtId="1" fontId="71" fillId="0" borderId="14" xfId="0" applyNumberFormat="1" applyFont="1" applyBorder="1" applyAlignment="1" applyProtection="1">
      <alignment horizontal="center" vertical="center"/>
      <protection locked="0"/>
    </xf>
    <xf numFmtId="1" fontId="71" fillId="0" borderId="170" xfId="0" applyNumberFormat="1" applyFont="1" applyBorder="1" applyAlignment="1" applyProtection="1">
      <alignment horizontal="center" vertical="center"/>
      <protection locked="0"/>
    </xf>
    <xf numFmtId="166" fontId="71" fillId="0" borderId="14" xfId="0" applyNumberFormat="1" applyFont="1" applyBorder="1" applyAlignment="1">
      <alignment horizontal="center" vertical="center"/>
    </xf>
    <xf numFmtId="166" fontId="71" fillId="0" borderId="11" xfId="0" applyNumberFormat="1" applyFont="1" applyBorder="1" applyAlignment="1">
      <alignment horizontal="center" vertical="center"/>
    </xf>
    <xf numFmtId="1" fontId="71" fillId="0" borderId="14" xfId="0" applyNumberFormat="1" applyFont="1" applyBorder="1" applyAlignment="1">
      <alignment horizontal="center" vertical="center"/>
    </xf>
    <xf numFmtId="1" fontId="71" fillId="0" borderId="11" xfId="0" applyNumberFormat="1" applyFont="1" applyBorder="1" applyAlignment="1">
      <alignment horizontal="center" vertical="center"/>
    </xf>
    <xf numFmtId="1" fontId="71" fillId="0" borderId="10" xfId="0" applyNumberFormat="1" applyFont="1" applyBorder="1" applyAlignment="1">
      <alignment horizontal="center" vertical="center"/>
    </xf>
    <xf numFmtId="166" fontId="71" fillId="0" borderId="178" xfId="0" applyNumberFormat="1" applyFont="1" applyBorder="1" applyAlignment="1" applyProtection="1">
      <alignment horizontal="center" vertical="center"/>
      <protection locked="0"/>
    </xf>
    <xf numFmtId="166" fontId="71" fillId="0" borderId="139" xfId="0" applyNumberFormat="1" applyFont="1" applyBorder="1" applyAlignment="1">
      <alignment horizontal="center" vertical="center"/>
    </xf>
    <xf numFmtId="1" fontId="71" fillId="0" borderId="139" xfId="0" applyNumberFormat="1" applyFont="1" applyBorder="1" applyAlignment="1">
      <alignment horizontal="center" vertical="center"/>
    </xf>
    <xf numFmtId="166" fontId="71" fillId="0" borderId="171" xfId="0" applyNumberFormat="1" applyFont="1" applyBorder="1" applyAlignment="1" applyProtection="1">
      <alignment horizontal="center" vertical="center"/>
      <protection locked="0"/>
    </xf>
    <xf numFmtId="166" fontId="71" fillId="0" borderId="137" xfId="0" applyNumberFormat="1" applyFont="1" applyBorder="1" applyAlignment="1" applyProtection="1">
      <alignment horizontal="center" vertical="center"/>
      <protection locked="0"/>
    </xf>
    <xf numFmtId="166" fontId="71" fillId="0" borderId="223" xfId="0" applyNumberFormat="1" applyFont="1" applyBorder="1" applyAlignment="1" applyProtection="1">
      <alignment horizontal="center" vertical="center"/>
      <protection locked="0"/>
    </xf>
    <xf numFmtId="1" fontId="71" fillId="0" borderId="171" xfId="0" applyNumberFormat="1" applyFont="1" applyBorder="1" applyAlignment="1" applyProtection="1">
      <alignment horizontal="center" vertical="center"/>
      <protection locked="0"/>
    </xf>
    <xf numFmtId="10" fontId="73" fillId="0" borderId="223" xfId="0" applyNumberFormat="1" applyFont="1" applyBorder="1" applyAlignment="1" applyProtection="1">
      <alignment horizontal="center" vertical="center"/>
      <protection locked="0"/>
    </xf>
    <xf numFmtId="166" fontId="71" fillId="0" borderId="222" xfId="0" applyNumberFormat="1" applyFont="1" applyBorder="1" applyAlignment="1" applyProtection="1">
      <alignment horizontal="center" vertical="center"/>
      <protection locked="0"/>
    </xf>
    <xf numFmtId="0" fontId="71" fillId="0" borderId="172" xfId="0" applyFont="1" applyBorder="1" applyAlignment="1" applyProtection="1">
      <alignment horizontal="center" vertical="center"/>
      <protection locked="0"/>
    </xf>
    <xf numFmtId="0" fontId="71" fillId="0" borderId="173" xfId="0" applyFont="1" applyBorder="1" applyAlignment="1" applyProtection="1">
      <alignment horizontal="center" vertical="center"/>
      <protection locked="0"/>
    </xf>
    <xf numFmtId="0" fontId="2" fillId="0" borderId="223" xfId="0" applyFont="1" applyBorder="1" applyAlignment="1">
      <alignment horizontal="center" vertical="center"/>
    </xf>
    <xf numFmtId="166" fontId="71" fillId="0" borderId="224" xfId="0" applyNumberFormat="1" applyFont="1" applyBorder="1" applyAlignment="1">
      <alignment horizontal="center" vertical="center"/>
    </xf>
    <xf numFmtId="166" fontId="71" fillId="0" borderId="216" xfId="0" applyNumberFormat="1" applyFont="1" applyBorder="1" applyAlignment="1">
      <alignment horizontal="center" vertical="center"/>
    </xf>
    <xf numFmtId="166" fontId="71" fillId="0" borderId="218" xfId="0" applyNumberFormat="1" applyFont="1" applyBorder="1" applyAlignment="1">
      <alignment horizontal="center" vertical="center"/>
    </xf>
    <xf numFmtId="166" fontId="71" fillId="0" borderId="219" xfId="0" applyNumberFormat="1" applyFont="1" applyBorder="1" applyAlignment="1">
      <alignment horizontal="center" vertical="center"/>
    </xf>
    <xf numFmtId="0" fontId="74" fillId="0" borderId="3" xfId="0" applyFont="1" applyBorder="1" applyAlignment="1">
      <alignment vertical="center"/>
    </xf>
    <xf numFmtId="0" fontId="74" fillId="0" borderId="5" xfId="0" applyFont="1" applyBorder="1" applyAlignment="1">
      <alignment vertical="center"/>
    </xf>
    <xf numFmtId="0" fontId="4" fillId="0" borderId="230" xfId="0" applyFont="1" applyBorder="1" applyAlignment="1" applyProtection="1">
      <alignment horizontal="center" vertical="center"/>
      <protection locked="0"/>
    </xf>
    <xf numFmtId="0" fontId="6" fillId="0" borderId="55" xfId="0" applyFont="1" applyBorder="1" applyAlignment="1">
      <alignment horizontal="left" vertical="center"/>
    </xf>
    <xf numFmtId="0" fontId="6" fillId="0" borderId="57" xfId="0" applyFont="1" applyBorder="1" applyAlignment="1">
      <alignment horizontal="left" vertical="center"/>
    </xf>
    <xf numFmtId="0" fontId="6" fillId="0" borderId="250" xfId="0" applyFont="1" applyBorder="1" applyAlignment="1">
      <alignment horizontal="left" vertical="center"/>
    </xf>
    <xf numFmtId="0" fontId="0" fillId="8" borderId="55" xfId="0" applyFill="1" applyBorder="1" applyAlignment="1">
      <alignment horizontal="left"/>
    </xf>
    <xf numFmtId="0" fontId="0" fillId="12" borderId="0" xfId="0" applyFill="1"/>
    <xf numFmtId="0" fontId="6" fillId="12" borderId="0" xfId="0" applyFont="1" applyFill="1" applyAlignment="1">
      <alignment horizontal="left" vertical="center"/>
    </xf>
    <xf numFmtId="0" fontId="6" fillId="12" borderId="55" xfId="0" applyFont="1" applyFill="1" applyBorder="1" applyAlignment="1">
      <alignment horizontal="left" vertical="center"/>
    </xf>
    <xf numFmtId="0" fontId="0" fillId="12" borderId="42" xfId="0" applyFill="1" applyBorder="1"/>
    <xf numFmtId="0" fontId="0" fillId="12" borderId="41" xfId="0" applyFill="1" applyBorder="1"/>
    <xf numFmtId="0" fontId="37" fillId="0" borderId="0" xfId="0" applyFont="1" applyAlignment="1">
      <alignment horizontal="left" vertical="center"/>
    </xf>
    <xf numFmtId="0" fontId="2" fillId="0" borderId="157" xfId="0" applyFont="1" applyBorder="1" applyAlignment="1">
      <alignment horizontal="left" vertical="center"/>
    </xf>
    <xf numFmtId="0" fontId="2" fillId="0" borderId="157" xfId="0" applyFont="1" applyBorder="1" applyAlignment="1">
      <alignment vertical="center"/>
    </xf>
    <xf numFmtId="0" fontId="3" fillId="0" borderId="178" xfId="0" applyFont="1" applyBorder="1" applyAlignment="1" applyProtection="1">
      <alignment horizontal="center" vertical="center"/>
      <protection locked="0"/>
    </xf>
    <xf numFmtId="0" fontId="3" fillId="0" borderId="251" xfId="0" applyFont="1" applyBorder="1" applyAlignment="1" applyProtection="1">
      <alignment horizontal="center" vertical="center"/>
      <protection locked="0"/>
    </xf>
    <xf numFmtId="0" fontId="3" fillId="0" borderId="251" xfId="0" quotePrefix="1" applyFont="1" applyBorder="1" applyAlignment="1" applyProtection="1">
      <alignment horizontal="center" vertical="center"/>
      <protection locked="0"/>
    </xf>
    <xf numFmtId="9" fontId="0" fillId="0" borderId="0" xfId="0" applyNumberFormat="1" applyAlignment="1">
      <alignment horizontal="center" vertical="center"/>
    </xf>
    <xf numFmtId="0" fontId="0" fillId="0" borderId="174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257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7" borderId="0" xfId="0" applyFill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13" fillId="7" borderId="21" xfId="0" applyFont="1" applyFill="1" applyBorder="1" applyAlignment="1">
      <alignment horizontal="center" vertical="center"/>
    </xf>
    <xf numFmtId="0" fontId="0" fillId="7" borderId="21" xfId="0" applyFill="1" applyBorder="1" applyAlignment="1">
      <alignment horizontal="left" vertical="center"/>
    </xf>
    <xf numFmtId="0" fontId="0" fillId="7" borderId="21" xfId="0" applyFill="1" applyBorder="1" applyAlignment="1">
      <alignment horizontal="center" vertical="center"/>
    </xf>
    <xf numFmtId="9" fontId="54" fillId="0" borderId="240" xfId="0" applyNumberFormat="1" applyFont="1" applyBorder="1" applyAlignment="1">
      <alignment horizontal="center" vertical="center"/>
    </xf>
    <xf numFmtId="9" fontId="54" fillId="0" borderId="68" xfId="0" applyNumberFormat="1" applyFont="1" applyBorder="1" applyAlignment="1">
      <alignment horizontal="center" vertical="center"/>
    </xf>
    <xf numFmtId="9" fontId="54" fillId="0" borderId="66" xfId="0" applyNumberFormat="1" applyFont="1" applyBorder="1" applyAlignment="1">
      <alignment horizontal="center" vertical="center"/>
    </xf>
    <xf numFmtId="0" fontId="6" fillId="0" borderId="38" xfId="0" applyFont="1" applyBorder="1" applyAlignment="1">
      <alignment horizontal="left" vertical="center"/>
    </xf>
    <xf numFmtId="0" fontId="36" fillId="0" borderId="210" xfId="0" applyFont="1" applyBorder="1" applyAlignment="1">
      <alignment horizontal="center" vertical="center" wrapText="1"/>
    </xf>
    <xf numFmtId="1" fontId="40" fillId="12" borderId="243" xfId="0" applyNumberFormat="1" applyFont="1" applyFill="1" applyBorder="1" applyAlignment="1">
      <alignment horizontal="center" vertical="center" wrapText="1"/>
    </xf>
    <xf numFmtId="10" fontId="40" fillId="12" borderId="243" xfId="0" applyNumberFormat="1" applyFont="1" applyFill="1" applyBorder="1" applyAlignment="1">
      <alignment horizontal="center" vertical="center" wrapText="1"/>
    </xf>
    <xf numFmtId="0" fontId="40" fillId="12" borderId="243" xfId="0" applyFont="1" applyFill="1" applyBorder="1" applyAlignment="1">
      <alignment horizontal="center" vertical="center" wrapText="1"/>
    </xf>
    <xf numFmtId="9" fontId="40" fillId="12" borderId="243" xfId="0" applyNumberFormat="1" applyFont="1" applyFill="1" applyBorder="1" applyAlignment="1">
      <alignment horizontal="center" vertical="center" wrapText="1"/>
    </xf>
    <xf numFmtId="9" fontId="6" fillId="0" borderId="243" xfId="0" applyNumberFormat="1" applyFont="1" applyBorder="1" applyAlignment="1">
      <alignment horizontal="center" vertical="center" wrapText="1"/>
    </xf>
    <xf numFmtId="9" fontId="40" fillId="12" borderId="43" xfId="0" applyNumberFormat="1" applyFont="1" applyFill="1" applyBorder="1" applyAlignment="1">
      <alignment horizontal="center" vertical="center" wrapText="1"/>
    </xf>
    <xf numFmtId="0" fontId="0" fillId="0" borderId="38" xfId="0" applyBorder="1"/>
    <xf numFmtId="0" fontId="54" fillId="2" borderId="48" xfId="0" applyFont="1" applyFill="1" applyBorder="1" applyAlignment="1">
      <alignment horizontal="center" vertical="center"/>
    </xf>
    <xf numFmtId="166" fontId="54" fillId="0" borderId="101" xfId="0" applyNumberFormat="1" applyFont="1" applyBorder="1" applyAlignment="1">
      <alignment horizontal="center" vertical="center"/>
    </xf>
    <xf numFmtId="166" fontId="54" fillId="0" borderId="117" xfId="0" applyNumberFormat="1" applyFont="1" applyBorder="1" applyAlignment="1">
      <alignment horizontal="center" vertical="center"/>
    </xf>
    <xf numFmtId="166" fontId="54" fillId="8" borderId="255" xfId="0" applyNumberFormat="1" applyFont="1" applyFill="1" applyBorder="1" applyAlignment="1">
      <alignment horizontal="center" vertical="center"/>
    </xf>
    <xf numFmtId="0" fontId="54" fillId="7" borderId="0" xfId="0" applyFont="1" applyFill="1"/>
    <xf numFmtId="0" fontId="54" fillId="7" borderId="42" xfId="0" applyFont="1" applyFill="1" applyBorder="1"/>
    <xf numFmtId="0" fontId="54" fillId="0" borderId="66" xfId="0" applyFont="1" applyBorder="1" applyAlignment="1">
      <alignment horizontal="center" vertical="center"/>
    </xf>
    <xf numFmtId="0" fontId="54" fillId="0" borderId="23" xfId="0" applyFont="1" applyBorder="1" applyAlignment="1">
      <alignment horizontal="center" vertical="center"/>
    </xf>
    <xf numFmtId="0" fontId="54" fillId="0" borderId="26" xfId="0" applyFont="1" applyBorder="1" applyAlignment="1">
      <alignment horizontal="center" vertical="center"/>
    </xf>
    <xf numFmtId="9" fontId="54" fillId="0" borderId="49" xfId="0" applyNumberFormat="1" applyFont="1" applyBorder="1" applyAlignment="1">
      <alignment horizontal="center" vertical="center"/>
    </xf>
    <xf numFmtId="0" fontId="54" fillId="0" borderId="0" xfId="0" applyFont="1"/>
    <xf numFmtId="0" fontId="54" fillId="7" borderId="0" xfId="0" applyFont="1" applyFill="1" applyAlignment="1">
      <alignment horizontal="center"/>
    </xf>
    <xf numFmtId="0" fontId="54" fillId="7" borderId="41" xfId="0" applyFont="1" applyFill="1" applyBorder="1"/>
    <xf numFmtId="0" fontId="75" fillId="7" borderId="0" xfId="0" applyFont="1" applyFill="1" applyAlignment="1">
      <alignment horizontal="center" vertical="center"/>
    </xf>
    <xf numFmtId="0" fontId="54" fillId="2" borderId="42" xfId="0" applyFont="1" applyFill="1" applyBorder="1" applyAlignment="1">
      <alignment horizontal="center" vertical="center"/>
    </xf>
    <xf numFmtId="166" fontId="41" fillId="0" borderId="101" xfId="0" applyNumberFormat="1" applyFont="1" applyBorder="1" applyAlignment="1">
      <alignment horizontal="center" vertical="center"/>
    </xf>
    <xf numFmtId="0" fontId="41" fillId="0" borderId="117" xfId="0" applyFont="1" applyBorder="1" applyAlignment="1">
      <alignment horizontal="center" vertical="center"/>
    </xf>
    <xf numFmtId="1" fontId="41" fillId="0" borderId="117" xfId="0" applyNumberFormat="1" applyFont="1" applyBorder="1" applyAlignment="1">
      <alignment horizontal="center" vertical="center"/>
    </xf>
    <xf numFmtId="166" fontId="41" fillId="0" borderId="117" xfId="0" applyNumberFormat="1" applyFont="1" applyBorder="1" applyAlignment="1">
      <alignment horizontal="center" vertical="center"/>
    </xf>
    <xf numFmtId="0" fontId="41" fillId="0" borderId="255" xfId="0" applyFont="1" applyBorder="1" applyAlignment="1">
      <alignment horizontal="center" vertical="center"/>
    </xf>
    <xf numFmtId="0" fontId="54" fillId="8" borderId="240" xfId="0" applyFont="1" applyFill="1" applyBorder="1" applyAlignment="1">
      <alignment horizontal="center" vertical="center"/>
    </xf>
    <xf numFmtId="10" fontId="54" fillId="8" borderId="68" xfId="0" applyNumberFormat="1" applyFont="1" applyFill="1" applyBorder="1" applyAlignment="1">
      <alignment horizontal="center" vertical="center"/>
    </xf>
    <xf numFmtId="0" fontId="54" fillId="8" borderId="66" xfId="0" applyFont="1" applyFill="1" applyBorder="1" applyAlignment="1">
      <alignment horizontal="center" vertical="center"/>
    </xf>
    <xf numFmtId="9" fontId="39" fillId="0" borderId="240" xfId="0" applyNumberFormat="1" applyFont="1" applyBorder="1" applyAlignment="1">
      <alignment horizontal="center" vertical="center"/>
    </xf>
    <xf numFmtId="0" fontId="54" fillId="0" borderId="68" xfId="0" applyFont="1" applyBorder="1" applyAlignment="1">
      <alignment horizontal="center" vertical="center"/>
    </xf>
    <xf numFmtId="9" fontId="54" fillId="0" borderId="26" xfId="0" applyNumberFormat="1" applyFont="1" applyBorder="1" applyAlignment="1">
      <alignment horizontal="center"/>
    </xf>
    <xf numFmtId="0" fontId="54" fillId="0" borderId="26" xfId="0" applyFont="1" applyBorder="1" applyAlignment="1">
      <alignment horizontal="center"/>
    </xf>
    <xf numFmtId="9" fontId="54" fillId="0" borderId="49" xfId="0" applyNumberFormat="1" applyFont="1" applyBorder="1" applyAlignment="1">
      <alignment horizontal="center"/>
    </xf>
    <xf numFmtId="0" fontId="54" fillId="7" borderId="0" xfId="0" applyFont="1" applyFill="1" applyAlignment="1">
      <alignment horizontal="center" vertical="center"/>
    </xf>
    <xf numFmtId="10" fontId="54" fillId="7" borderId="0" xfId="0" applyNumberFormat="1" applyFont="1" applyFill="1" applyAlignment="1">
      <alignment vertical="center"/>
    </xf>
    <xf numFmtId="0" fontId="54" fillId="0" borderId="101" xfId="0" applyFont="1" applyBorder="1" applyAlignment="1">
      <alignment horizontal="center" vertical="center"/>
    </xf>
    <xf numFmtId="0" fontId="54" fillId="0" borderId="117" xfId="0" applyFont="1" applyBorder="1" applyAlignment="1">
      <alignment horizontal="center" vertical="center"/>
    </xf>
    <xf numFmtId="1" fontId="54" fillId="0" borderId="117" xfId="0" applyNumberFormat="1" applyFont="1" applyBorder="1" applyAlignment="1">
      <alignment horizontal="center" vertical="center"/>
    </xf>
    <xf numFmtId="0" fontId="54" fillId="12" borderId="42" xfId="0" applyFont="1" applyFill="1" applyBorder="1"/>
    <xf numFmtId="0" fontId="54" fillId="0" borderId="240" xfId="0" applyFont="1" applyBorder="1" applyAlignment="1">
      <alignment horizontal="center" vertical="center"/>
    </xf>
    <xf numFmtId="0" fontId="54" fillId="8" borderId="68" xfId="0" applyFont="1" applyFill="1" applyBorder="1" applyAlignment="1">
      <alignment horizontal="center" vertical="center"/>
    </xf>
    <xf numFmtId="9" fontId="54" fillId="8" borderId="68" xfId="0" applyNumberFormat="1" applyFont="1" applyFill="1" applyBorder="1" applyAlignment="1">
      <alignment horizontal="center" vertical="center"/>
    </xf>
    <xf numFmtId="9" fontId="54" fillId="8" borderId="240" xfId="0" applyNumberFormat="1" applyFont="1" applyFill="1" applyBorder="1" applyAlignment="1">
      <alignment horizontal="center" vertical="center"/>
    </xf>
    <xf numFmtId="9" fontId="54" fillId="8" borderId="66" xfId="0" applyNumberFormat="1" applyFont="1" applyFill="1" applyBorder="1" applyAlignment="1">
      <alignment horizontal="center" vertical="center"/>
    </xf>
    <xf numFmtId="0" fontId="54" fillId="8" borderId="37" xfId="0" applyFont="1" applyFill="1" applyBorder="1"/>
    <xf numFmtId="166" fontId="41" fillId="0" borderId="97" xfId="0" applyNumberFormat="1" applyFont="1" applyBorder="1" applyAlignment="1">
      <alignment horizontal="center" vertical="center"/>
    </xf>
    <xf numFmtId="166" fontId="41" fillId="0" borderId="256" xfId="0" applyNumberFormat="1" applyFont="1" applyBorder="1" applyAlignment="1">
      <alignment horizontal="center" vertical="center"/>
    </xf>
    <xf numFmtId="0" fontId="41" fillId="12" borderId="0" xfId="0" applyFont="1" applyFill="1" applyAlignment="1">
      <alignment horizontal="center" vertical="center"/>
    </xf>
    <xf numFmtId="0" fontId="54" fillId="12" borderId="0" xfId="0" applyFont="1" applyFill="1"/>
    <xf numFmtId="9" fontId="54" fillId="0" borderId="74" xfId="0" applyNumberFormat="1" applyFont="1" applyBorder="1" applyAlignment="1">
      <alignment horizontal="center" vertical="center"/>
    </xf>
    <xf numFmtId="1" fontId="54" fillId="0" borderId="26" xfId="0" applyNumberFormat="1" applyFont="1" applyBorder="1" applyAlignment="1">
      <alignment horizontal="center" vertical="center"/>
    </xf>
    <xf numFmtId="0" fontId="54" fillId="7" borderId="0" xfId="0" applyFont="1" applyFill="1" applyAlignment="1">
      <alignment vertical="center"/>
    </xf>
    <xf numFmtId="0" fontId="54" fillId="0" borderId="61" xfId="0" applyFont="1" applyBorder="1"/>
    <xf numFmtId="0" fontId="54" fillId="0" borderId="42" xfId="0" applyFont="1" applyBorder="1"/>
    <xf numFmtId="1" fontId="54" fillId="8" borderId="101" xfId="0" applyNumberFormat="1" applyFont="1" applyFill="1" applyBorder="1" applyAlignment="1">
      <alignment horizontal="center" vertical="center"/>
    </xf>
    <xf numFmtId="1" fontId="54" fillId="8" borderId="117" xfId="0" applyNumberFormat="1" applyFont="1" applyFill="1" applyBorder="1" applyAlignment="1">
      <alignment horizontal="center" vertical="center"/>
    </xf>
    <xf numFmtId="1" fontId="54" fillId="8" borderId="255" xfId="0" applyNumberFormat="1" applyFont="1" applyFill="1" applyBorder="1" applyAlignment="1">
      <alignment horizontal="center" vertical="center"/>
    </xf>
    <xf numFmtId="9" fontId="54" fillId="0" borderId="36" xfId="0" applyNumberFormat="1" applyFont="1" applyBorder="1" applyAlignment="1">
      <alignment horizontal="center" vertical="center"/>
    </xf>
    <xf numFmtId="1" fontId="54" fillId="0" borderId="0" xfId="0" applyNumberFormat="1" applyFont="1" applyAlignment="1">
      <alignment horizontal="center" vertical="center"/>
    </xf>
    <xf numFmtId="9" fontId="54" fillId="0" borderId="0" xfId="0" applyNumberFormat="1" applyFont="1" applyAlignment="1">
      <alignment horizontal="center" vertical="center"/>
    </xf>
    <xf numFmtId="9" fontId="54" fillId="0" borderId="42" xfId="0" applyNumberFormat="1" applyFont="1" applyBorder="1" applyAlignment="1">
      <alignment horizontal="center" vertical="center"/>
    </xf>
    <xf numFmtId="1" fontId="54" fillId="0" borderId="240" xfId="0" applyNumberFormat="1" applyFont="1" applyBorder="1" applyAlignment="1">
      <alignment horizontal="center" vertical="center"/>
    </xf>
    <xf numFmtId="10" fontId="54" fillId="0" borderId="23" xfId="0" applyNumberFormat="1" applyFont="1" applyBorder="1" applyAlignment="1">
      <alignment horizontal="center" vertical="center"/>
    </xf>
    <xf numFmtId="10" fontId="54" fillId="0" borderId="26" xfId="0" applyNumberFormat="1" applyFont="1" applyBorder="1" applyAlignment="1">
      <alignment horizontal="center" vertical="center"/>
    </xf>
    <xf numFmtId="10" fontId="54" fillId="0" borderId="49" xfId="0" applyNumberFormat="1" applyFont="1" applyBorder="1" applyAlignment="1">
      <alignment horizontal="center" vertical="center"/>
    </xf>
    <xf numFmtId="0" fontId="54" fillId="12" borderId="41" xfId="0" applyFont="1" applyFill="1" applyBorder="1"/>
    <xf numFmtId="9" fontId="54" fillId="0" borderId="61" xfId="0" applyNumberFormat="1" applyFont="1" applyBorder="1" applyAlignment="1">
      <alignment horizontal="center" vertical="center"/>
    </xf>
    <xf numFmtId="2" fontId="54" fillId="0" borderId="68" xfId="0" applyNumberFormat="1" applyFont="1" applyBorder="1" applyAlignment="1">
      <alignment horizontal="center" vertical="center"/>
    </xf>
    <xf numFmtId="0" fontId="54" fillId="7" borderId="36" xfId="0" applyFont="1" applyFill="1" applyBorder="1"/>
    <xf numFmtId="0" fontId="54" fillId="7" borderId="36" xfId="0" applyFont="1" applyFill="1" applyBorder="1" applyAlignment="1">
      <alignment horizontal="center" vertical="center"/>
    </xf>
    <xf numFmtId="0" fontId="54" fillId="7" borderId="34" xfId="0" applyFont="1" applyFill="1" applyBorder="1"/>
    <xf numFmtId="0" fontId="54" fillId="7" borderId="37" xfId="0" applyFont="1" applyFill="1" applyBorder="1"/>
    <xf numFmtId="0" fontId="54" fillId="12" borderId="34" xfId="0" applyFont="1" applyFill="1" applyBorder="1"/>
    <xf numFmtId="0" fontId="54" fillId="12" borderId="36" xfId="0" applyFont="1" applyFill="1" applyBorder="1"/>
    <xf numFmtId="0" fontId="54" fillId="12" borderId="37" xfId="0" applyFont="1" applyFill="1" applyBorder="1"/>
    <xf numFmtId="10" fontId="54" fillId="0" borderId="36" xfId="0" applyNumberFormat="1" applyFont="1" applyBorder="1"/>
    <xf numFmtId="0" fontId="54" fillId="0" borderId="36" xfId="0" applyFont="1" applyBorder="1"/>
    <xf numFmtId="0" fontId="54" fillId="0" borderId="37" xfId="0" applyFont="1" applyBorder="1"/>
    <xf numFmtId="9" fontId="54" fillId="8" borderId="105" xfId="0" applyNumberFormat="1" applyFont="1" applyFill="1" applyBorder="1" applyAlignment="1">
      <alignment horizontal="center" vertical="center"/>
    </xf>
    <xf numFmtId="0" fontId="54" fillId="0" borderId="237" xfId="0" applyFont="1" applyBorder="1" applyAlignment="1">
      <alignment horizontal="center" vertical="center"/>
    </xf>
    <xf numFmtId="9" fontId="40" fillId="0" borderId="61" xfId="0" applyNumberFormat="1" applyFont="1" applyBorder="1" applyAlignment="1">
      <alignment horizontal="center" vertical="center"/>
    </xf>
    <xf numFmtId="9" fontId="39" fillId="0" borderId="61" xfId="0" applyNumberFormat="1" applyFont="1" applyBorder="1" applyAlignment="1">
      <alignment horizontal="center" vertical="center"/>
    </xf>
    <xf numFmtId="9" fontId="39" fillId="0" borderId="66" xfId="0" applyNumberFormat="1" applyFont="1" applyBorder="1" applyAlignment="1">
      <alignment horizontal="center" vertical="center"/>
    </xf>
    <xf numFmtId="9" fontId="40" fillId="0" borderId="68" xfId="0" applyNumberFormat="1" applyFont="1" applyBorder="1" applyAlignment="1">
      <alignment horizontal="center" vertical="center"/>
    </xf>
    <xf numFmtId="9" fontId="40" fillId="0" borderId="67" xfId="0" applyNumberFormat="1" applyFont="1" applyBorder="1" applyAlignment="1">
      <alignment horizontal="center" vertical="center"/>
    </xf>
    <xf numFmtId="9" fontId="40" fillId="0" borderId="66" xfId="0" applyNumberFormat="1" applyFont="1" applyBorder="1" applyAlignment="1">
      <alignment horizontal="center" vertical="center"/>
    </xf>
    <xf numFmtId="9" fontId="39" fillId="0" borderId="67" xfId="0" applyNumberFormat="1" applyFont="1" applyBorder="1" applyAlignment="1">
      <alignment horizontal="center" vertical="center"/>
    </xf>
    <xf numFmtId="9" fontId="39" fillId="0" borderId="68" xfId="0" applyNumberFormat="1" applyFont="1" applyBorder="1" applyAlignment="1">
      <alignment horizontal="center" vertical="center"/>
    </xf>
    <xf numFmtId="9" fontId="39" fillId="0" borderId="23" xfId="0" applyNumberFormat="1" applyFont="1" applyBorder="1" applyAlignment="1">
      <alignment horizontal="center" vertical="center"/>
    </xf>
    <xf numFmtId="9" fontId="39" fillId="8" borderId="61" xfId="0" applyNumberFormat="1" applyFont="1" applyFill="1" applyBorder="1" applyAlignment="1">
      <alignment horizontal="center" vertical="center"/>
    </xf>
    <xf numFmtId="9" fontId="39" fillId="0" borderId="74" xfId="0" applyNumberFormat="1" applyFont="1" applyBorder="1" applyAlignment="1">
      <alignment horizontal="center" vertical="center"/>
    </xf>
    <xf numFmtId="9" fontId="39" fillId="0" borderId="26" xfId="0" applyNumberFormat="1" applyFont="1" applyBorder="1" applyAlignment="1">
      <alignment horizontal="center" vertical="center"/>
    </xf>
    <xf numFmtId="9" fontId="39" fillId="8" borderId="67" xfId="0" applyNumberFormat="1" applyFont="1" applyFill="1" applyBorder="1" applyAlignment="1">
      <alignment horizontal="center" vertical="center"/>
    </xf>
    <xf numFmtId="0" fontId="39" fillId="0" borderId="240" xfId="0" applyFont="1" applyBorder="1" applyAlignment="1">
      <alignment horizontal="center" vertical="center"/>
    </xf>
    <xf numFmtId="0" fontId="39" fillId="0" borderId="66" xfId="0" applyFont="1" applyBorder="1" applyAlignment="1">
      <alignment horizontal="center"/>
    </xf>
    <xf numFmtId="9" fontId="41" fillId="0" borderId="240" xfId="0" applyNumberFormat="1" applyFont="1" applyBorder="1" applyAlignment="1">
      <alignment horizontal="center" vertical="center"/>
    </xf>
    <xf numFmtId="0" fontId="41" fillId="0" borderId="68" xfId="0" applyFont="1" applyBorder="1" applyAlignment="1">
      <alignment horizontal="center" vertical="center"/>
    </xf>
    <xf numFmtId="9" fontId="41" fillId="0" borderId="68" xfId="0" applyNumberFormat="1" applyFont="1" applyBorder="1" applyAlignment="1">
      <alignment horizontal="center" vertical="center"/>
    </xf>
    <xf numFmtId="9" fontId="41" fillId="0" borderId="23" xfId="0" applyNumberFormat="1" applyFont="1" applyBorder="1" applyAlignment="1">
      <alignment horizontal="center" vertical="center"/>
    </xf>
    <xf numFmtId="9" fontId="41" fillId="0" borderId="26" xfId="0" applyNumberFormat="1" applyFont="1" applyBorder="1" applyAlignment="1">
      <alignment horizontal="center" vertical="center"/>
    </xf>
    <xf numFmtId="0" fontId="54" fillId="8" borderId="26" xfId="0" applyFont="1" applyFill="1" applyBorder="1" applyAlignment="1">
      <alignment horizontal="center" vertical="center"/>
    </xf>
    <xf numFmtId="0" fontId="54" fillId="8" borderId="49" xfId="0" applyFont="1" applyFill="1" applyBorder="1" applyAlignment="1">
      <alignment horizontal="center" vertical="center"/>
    </xf>
    <xf numFmtId="0" fontId="54" fillId="7" borderId="41" xfId="0" applyFont="1" applyFill="1" applyBorder="1" applyAlignment="1">
      <alignment horizontal="center" vertical="center"/>
    </xf>
    <xf numFmtId="0" fontId="54" fillId="7" borderId="42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40" fillId="8" borderId="26" xfId="0" applyFont="1" applyFill="1" applyBorder="1" applyAlignment="1">
      <alignment horizontal="center" vertical="center" wrapText="1"/>
    </xf>
    <xf numFmtId="9" fontId="40" fillId="12" borderId="260" xfId="0" applyNumberFormat="1" applyFont="1" applyFill="1" applyBorder="1" applyAlignment="1">
      <alignment horizontal="center" vertical="center" wrapText="1"/>
    </xf>
    <xf numFmtId="0" fontId="57" fillId="7" borderId="236" xfId="0" applyFont="1" applyFill="1" applyBorder="1" applyAlignment="1">
      <alignment horizontal="center" vertical="center" wrapText="1"/>
    </xf>
    <xf numFmtId="0" fontId="57" fillId="7" borderId="51" xfId="0" applyFont="1" applyFill="1" applyBorder="1" applyAlignment="1">
      <alignment horizontal="center" vertical="center" wrapText="1"/>
    </xf>
    <xf numFmtId="0" fontId="6" fillId="0" borderId="235" xfId="0" applyFont="1" applyBorder="1" applyAlignment="1">
      <alignment horizontal="center" vertical="center" wrapText="1"/>
    </xf>
    <xf numFmtId="0" fontId="6" fillId="0" borderId="144" xfId="0" applyFont="1" applyBorder="1" applyAlignment="1">
      <alignment horizontal="center" vertical="center" wrapText="1"/>
    </xf>
    <xf numFmtId="0" fontId="6" fillId="0" borderId="238" xfId="0" applyFont="1" applyBorder="1" applyAlignment="1">
      <alignment horizontal="center" vertical="center" wrapText="1"/>
    </xf>
    <xf numFmtId="0" fontId="6" fillId="0" borderId="24" xfId="0" applyFont="1" applyBorder="1" applyAlignment="1">
      <alignment horizontal="center" vertical="center" wrapText="1"/>
    </xf>
    <xf numFmtId="0" fontId="6" fillId="0" borderId="128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220" xfId="0" applyFont="1" applyBorder="1" applyAlignment="1">
      <alignment horizontal="center" vertical="center" wrapText="1"/>
    </xf>
    <xf numFmtId="0" fontId="6" fillId="0" borderId="221" xfId="0" applyFont="1" applyBorder="1" applyAlignment="1">
      <alignment horizontal="center" vertical="center" wrapText="1"/>
    </xf>
    <xf numFmtId="0" fontId="6" fillId="0" borderId="261" xfId="0" applyFont="1" applyBorder="1" applyAlignment="1">
      <alignment horizontal="center" vertical="center" wrapText="1"/>
    </xf>
    <xf numFmtId="0" fontId="6" fillId="0" borderId="176" xfId="0" applyFont="1" applyBorder="1" applyAlignment="1">
      <alignment horizontal="center" vertical="center" wrapText="1"/>
    </xf>
    <xf numFmtId="0" fontId="36" fillId="0" borderId="236" xfId="0" applyFont="1" applyBorder="1" applyAlignment="1">
      <alignment horizontal="center" vertical="center" wrapText="1"/>
    </xf>
    <xf numFmtId="0" fontId="36" fillId="0" borderId="51" xfId="0" applyFont="1" applyBorder="1" applyAlignment="1">
      <alignment horizontal="center" vertical="center" wrapText="1"/>
    </xf>
    <xf numFmtId="0" fontId="36" fillId="0" borderId="235" xfId="0" applyFont="1" applyBorder="1" applyAlignment="1">
      <alignment horizontal="center" vertical="center" wrapText="1"/>
    </xf>
    <xf numFmtId="0" fontId="36" fillId="0" borderId="237" xfId="0" applyFont="1" applyBorder="1" applyAlignment="1">
      <alignment horizontal="center" vertical="center" wrapText="1"/>
    </xf>
    <xf numFmtId="0" fontId="6" fillId="12" borderId="237" xfId="0" applyFont="1" applyFill="1" applyBorder="1" applyAlignment="1">
      <alignment horizontal="center" vertical="center" wrapText="1"/>
    </xf>
    <xf numFmtId="0" fontId="6" fillId="12" borderId="61" xfId="0" applyFont="1" applyFill="1" applyBorder="1" applyAlignment="1">
      <alignment horizontal="center" vertical="center" wrapText="1"/>
    </xf>
    <xf numFmtId="0" fontId="6" fillId="12" borderId="236" xfId="0" applyFont="1" applyFill="1" applyBorder="1" applyAlignment="1">
      <alignment horizontal="center" vertical="center" wrapText="1"/>
    </xf>
    <xf numFmtId="0" fontId="6" fillId="12" borderId="239" xfId="0" applyFont="1" applyFill="1" applyBorder="1" applyAlignment="1">
      <alignment horizontal="center" vertical="center" wrapText="1"/>
    </xf>
    <xf numFmtId="0" fontId="6" fillId="12" borderId="73" xfId="0" applyFont="1" applyFill="1" applyBorder="1" applyAlignment="1">
      <alignment horizontal="center" vertical="center" wrapText="1"/>
    </xf>
    <xf numFmtId="0" fontId="6" fillId="12" borderId="240" xfId="0" applyFont="1" applyFill="1" applyBorder="1" applyAlignment="1">
      <alignment horizontal="center" vertical="center" wrapText="1"/>
    </xf>
    <xf numFmtId="0" fontId="6" fillId="12" borderId="59" xfId="0" applyFont="1" applyFill="1" applyBorder="1" applyAlignment="1">
      <alignment horizontal="center" vertical="center" wrapText="1"/>
    </xf>
    <xf numFmtId="9" fontId="40" fillId="12" borderId="66" xfId="0" applyNumberFormat="1" applyFont="1" applyFill="1" applyBorder="1" applyAlignment="1">
      <alignment horizontal="center" vertical="center" wrapText="1"/>
    </xf>
    <xf numFmtId="9" fontId="40" fillId="12" borderId="59" xfId="0" applyNumberFormat="1" applyFont="1" applyFill="1" applyBorder="1" applyAlignment="1">
      <alignment horizontal="center" vertical="center" wrapText="1"/>
    </xf>
    <xf numFmtId="0" fontId="2" fillId="0" borderId="76" xfId="0" applyFont="1" applyBorder="1" applyAlignment="1">
      <alignment horizontal="left" vertical="center"/>
    </xf>
    <xf numFmtId="0" fontId="40" fillId="0" borderId="68" xfId="0" applyFont="1" applyBorder="1" applyAlignment="1">
      <alignment horizontal="center" vertical="center"/>
    </xf>
    <xf numFmtId="165" fontId="21" fillId="0" borderId="14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right" vertical="center"/>
    </xf>
    <xf numFmtId="0" fontId="0" fillId="0" borderId="24" xfId="0" applyBorder="1" applyAlignment="1">
      <alignment horizontal="left" vertical="center"/>
    </xf>
    <xf numFmtId="166" fontId="39" fillId="0" borderId="240" xfId="0" applyNumberFormat="1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6" fontId="40" fillId="0" borderId="68" xfId="0" applyNumberFormat="1" applyFont="1" applyBorder="1" applyAlignment="1">
      <alignment horizontal="center" vertical="center"/>
    </xf>
    <xf numFmtId="165" fontId="18" fillId="0" borderId="14" xfId="0" applyNumberFormat="1" applyFont="1" applyBorder="1" applyAlignment="1">
      <alignment horizontal="center" vertical="center"/>
    </xf>
    <xf numFmtId="0" fontId="0" fillId="0" borderId="51" xfId="0" applyBorder="1" applyAlignment="1">
      <alignment horizontal="left" vertical="center"/>
    </xf>
    <xf numFmtId="0" fontId="13" fillId="0" borderId="123" xfId="0" applyFont="1" applyBorder="1" applyAlignment="1">
      <alignment vertical="center"/>
    </xf>
    <xf numFmtId="9" fontId="0" fillId="0" borderId="124" xfId="0" applyNumberFormat="1" applyBorder="1" applyAlignment="1">
      <alignment horizontal="center" vertical="center"/>
    </xf>
    <xf numFmtId="0" fontId="0" fillId="0" borderId="144" xfId="0" applyBorder="1" applyAlignment="1">
      <alignment horizontal="left" vertical="center"/>
    </xf>
    <xf numFmtId="0" fontId="13" fillId="0" borderId="60" xfId="0" applyFont="1" applyBorder="1"/>
    <xf numFmtId="0" fontId="0" fillId="8" borderId="60" xfId="0" applyFill="1" applyBorder="1" applyAlignment="1">
      <alignment horizontal="left" vertical="center"/>
    </xf>
    <xf numFmtId="0" fontId="13" fillId="8" borderId="60" xfId="0" applyFont="1" applyFill="1" applyBorder="1" applyAlignment="1">
      <alignment vertical="center"/>
    </xf>
    <xf numFmtId="9" fontId="0" fillId="8" borderId="61" xfId="0" applyNumberFormat="1" applyFill="1" applyBorder="1" applyAlignment="1">
      <alignment horizontal="center" vertical="center"/>
    </xf>
    <xf numFmtId="9" fontId="0" fillId="0" borderId="165" xfId="0" applyNumberFormat="1" applyBorder="1" applyAlignment="1">
      <alignment horizontal="center" vertical="center"/>
    </xf>
    <xf numFmtId="0" fontId="0" fillId="8" borderId="74" xfId="0" applyFill="1" applyBorder="1" applyAlignment="1">
      <alignment horizontal="center" vertical="center"/>
    </xf>
    <xf numFmtId="0" fontId="0" fillId="0" borderId="209" xfId="0" applyBorder="1" applyAlignment="1">
      <alignment horizontal="left" vertical="center"/>
    </xf>
    <xf numFmtId="0" fontId="0" fillId="8" borderId="72" xfId="0" applyFill="1" applyBorder="1" applyAlignment="1">
      <alignment vertical="center"/>
    </xf>
    <xf numFmtId="0" fontId="0" fillId="8" borderId="61" xfId="0" applyFill="1" applyBorder="1" applyAlignment="1">
      <alignment horizontal="center" vertical="center"/>
    </xf>
    <xf numFmtId="9" fontId="0" fillId="0" borderId="165" xfId="0" applyNumberFormat="1" applyBorder="1" applyAlignment="1">
      <alignment horizontal="center"/>
    </xf>
    <xf numFmtId="9" fontId="0" fillId="8" borderId="74" xfId="0" applyNumberFormat="1" applyFill="1" applyBorder="1" applyAlignment="1">
      <alignment horizontal="center" vertical="center"/>
    </xf>
    <xf numFmtId="0" fontId="0" fillId="8" borderId="72" xfId="0" applyFill="1" applyBorder="1" applyAlignment="1">
      <alignment horizontal="left" vertical="center"/>
    </xf>
    <xf numFmtId="0" fontId="0" fillId="0" borderId="125" xfId="0" applyBorder="1" applyAlignment="1">
      <alignment horizontal="left" vertical="center"/>
    </xf>
    <xf numFmtId="0" fontId="0" fillId="0" borderId="124" xfId="0" applyBorder="1" applyAlignment="1">
      <alignment horizontal="center" vertical="center"/>
    </xf>
    <xf numFmtId="0" fontId="0" fillId="8" borderId="144" xfId="0" applyFill="1" applyBorder="1" applyAlignment="1">
      <alignment horizontal="left" vertical="center"/>
    </xf>
    <xf numFmtId="0" fontId="0" fillId="8" borderId="61" xfId="0" applyFill="1" applyBorder="1" applyAlignment="1">
      <alignment horizontal="center"/>
    </xf>
    <xf numFmtId="10" fontId="40" fillId="0" borderId="67" xfId="0" applyNumberFormat="1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165" fontId="2" fillId="0" borderId="14" xfId="0" applyNumberFormat="1" applyFont="1" applyBorder="1" applyAlignment="1">
      <alignment horizontal="center" vertical="center"/>
    </xf>
    <xf numFmtId="0" fontId="2" fillId="0" borderId="170" xfId="0" applyFont="1" applyBorder="1" applyAlignment="1">
      <alignment horizontal="center" vertical="center"/>
    </xf>
    <xf numFmtId="0" fontId="13" fillId="7" borderId="33" xfId="0" applyFont="1" applyFill="1" applyBorder="1" applyAlignment="1">
      <alignment horizontal="center" vertical="center"/>
    </xf>
    <xf numFmtId="0" fontId="13" fillId="7" borderId="62" xfId="0" applyFont="1" applyFill="1" applyBorder="1" applyAlignment="1">
      <alignment horizontal="center" vertical="center"/>
    </xf>
    <xf numFmtId="0" fontId="13" fillId="7" borderId="63" xfId="0" applyFont="1" applyFill="1" applyBorder="1" applyAlignment="1">
      <alignment horizontal="center" vertical="center"/>
    </xf>
    <xf numFmtId="0" fontId="0" fillId="0" borderId="39" xfId="0" applyBorder="1" applyAlignment="1">
      <alignment horizontal="left" vertical="center"/>
    </xf>
    <xf numFmtId="0" fontId="0" fillId="0" borderId="42" xfId="0" applyBorder="1" applyAlignment="1">
      <alignment horizontal="left" vertical="center"/>
    </xf>
    <xf numFmtId="0" fontId="0" fillId="0" borderId="238" xfId="0" applyBorder="1" applyAlignment="1">
      <alignment horizontal="left" vertical="center"/>
    </xf>
    <xf numFmtId="0" fontId="0" fillId="0" borderId="239" xfId="0" applyBorder="1" applyAlignment="1">
      <alignment horizontal="left" vertical="center"/>
    </xf>
    <xf numFmtId="0" fontId="0" fillId="0" borderId="128" xfId="0" applyBorder="1" applyAlignment="1">
      <alignment horizontal="left" vertical="center"/>
    </xf>
    <xf numFmtId="0" fontId="0" fillId="0" borderId="129" xfId="0" applyBorder="1" applyAlignment="1">
      <alignment horizontal="left" vertical="center"/>
    </xf>
    <xf numFmtId="0" fontId="0" fillId="0" borderId="66" xfId="0" applyBorder="1" applyAlignment="1">
      <alignment horizontal="center" vertical="center"/>
    </xf>
    <xf numFmtId="0" fontId="63" fillId="0" borderId="0" xfId="0" applyFont="1" applyAlignment="1">
      <alignment vertical="center"/>
    </xf>
    <xf numFmtId="0" fontId="63" fillId="0" borderId="0" xfId="0" applyFont="1" applyAlignment="1">
      <alignment horizontal="left" vertical="center" indent="1"/>
    </xf>
    <xf numFmtId="0" fontId="63" fillId="0" borderId="0" xfId="0" applyFont="1" applyAlignment="1">
      <alignment horizontal="left" vertical="center"/>
    </xf>
    <xf numFmtId="0" fontId="63" fillId="0" borderId="0" xfId="0" applyFont="1" applyAlignment="1">
      <alignment horizontal="center" vertical="center"/>
    </xf>
    <xf numFmtId="0" fontId="2" fillId="0" borderId="228" xfId="0" applyFont="1" applyBorder="1" applyAlignment="1">
      <alignment horizontal="center" vertical="center"/>
    </xf>
    <xf numFmtId="0" fontId="2" fillId="0" borderId="224" xfId="0" applyFont="1" applyBorder="1" applyAlignment="1">
      <alignment horizontal="center" vertical="center"/>
    </xf>
    <xf numFmtId="0" fontId="2" fillId="0" borderId="225" xfId="0" applyFont="1" applyBorder="1" applyAlignment="1">
      <alignment horizontal="center" vertical="center"/>
    </xf>
    <xf numFmtId="10" fontId="14" fillId="0" borderId="190" xfId="0" applyNumberFormat="1" applyFont="1" applyBorder="1" applyAlignment="1">
      <alignment horizontal="center" vertical="center"/>
    </xf>
    <xf numFmtId="10" fontId="2" fillId="0" borderId="190" xfId="0" applyNumberFormat="1" applyFont="1" applyBorder="1" applyAlignment="1">
      <alignment horizontal="center" vertical="center"/>
    </xf>
    <xf numFmtId="9" fontId="39" fillId="0" borderId="262" xfId="0" applyNumberFormat="1" applyFont="1" applyBorder="1" applyAlignment="1">
      <alignment horizontal="center" vertical="center"/>
    </xf>
    <xf numFmtId="0" fontId="76" fillId="0" borderId="10" xfId="0" applyFont="1" applyBorder="1" applyAlignment="1">
      <alignment horizontal="left" vertical="center"/>
    </xf>
    <xf numFmtId="0" fontId="76" fillId="0" borderId="11" xfId="0" applyFont="1" applyBorder="1" applyAlignment="1">
      <alignment horizontal="left" vertical="center"/>
    </xf>
    <xf numFmtId="0" fontId="14" fillId="0" borderId="170" xfId="0" applyFont="1" applyBorder="1" applyAlignment="1">
      <alignment horizontal="center" vertical="center"/>
    </xf>
    <xf numFmtId="0" fontId="76" fillId="0" borderId="10" xfId="0" applyFont="1" applyBorder="1" applyAlignment="1">
      <alignment vertical="center"/>
    </xf>
    <xf numFmtId="0" fontId="18" fillId="0" borderId="14" xfId="0" applyFont="1" applyBorder="1" applyAlignment="1">
      <alignment vertical="center"/>
    </xf>
    <xf numFmtId="0" fontId="76" fillId="0" borderId="2" xfId="0" applyFont="1" applyBorder="1" applyAlignment="1">
      <alignment vertical="center"/>
    </xf>
    <xf numFmtId="0" fontId="76" fillId="0" borderId="3" xfId="0" applyFont="1" applyBorder="1" applyAlignment="1">
      <alignment vertical="center"/>
    </xf>
    <xf numFmtId="10" fontId="2" fillId="0" borderId="0" xfId="0" applyNumberFormat="1" applyFont="1" applyAlignment="1">
      <alignment horizontal="center" vertical="center"/>
    </xf>
    <xf numFmtId="10" fontId="17" fillId="0" borderId="14" xfId="0" applyNumberFormat="1" applyFont="1" applyBorder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0" fillId="11" borderId="59" xfId="0" applyFill="1" applyBorder="1" applyAlignment="1">
      <alignment horizontal="left" vertical="center"/>
    </xf>
    <xf numFmtId="9" fontId="0" fillId="0" borderId="61" xfId="0" applyNumberFormat="1" applyBorder="1" applyAlignment="1">
      <alignment horizontal="center"/>
    </xf>
    <xf numFmtId="9" fontId="2" fillId="0" borderId="14" xfId="0" applyNumberFormat="1" applyFont="1" applyBorder="1" applyAlignment="1">
      <alignment horizontal="center" vertical="center"/>
    </xf>
    <xf numFmtId="9" fontId="77" fillId="0" borderId="14" xfId="0" applyNumberFormat="1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2" fillId="0" borderId="9" xfId="0" applyFont="1" applyBorder="1" applyAlignment="1">
      <alignment horizontal="right" vertical="center"/>
    </xf>
    <xf numFmtId="0" fontId="2" fillId="0" borderId="10" xfId="0" applyFont="1" applyBorder="1" applyAlignment="1">
      <alignment horizontal="right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2" fontId="18" fillId="0" borderId="9" xfId="0" applyNumberFormat="1" applyFont="1" applyBorder="1" applyAlignment="1">
      <alignment horizontal="center" vertical="center"/>
    </xf>
    <xf numFmtId="2" fontId="18" fillId="0" borderId="11" xfId="0" applyNumberFormat="1" applyFont="1" applyBorder="1" applyAlignment="1">
      <alignment horizontal="center" vertical="center"/>
    </xf>
    <xf numFmtId="165" fontId="18" fillId="0" borderId="9" xfId="0" applyNumberFormat="1" applyFont="1" applyBorder="1" applyAlignment="1">
      <alignment horizontal="center" vertical="center"/>
    </xf>
    <xf numFmtId="165" fontId="18" fillId="0" borderId="11" xfId="0" applyNumberFormat="1" applyFont="1" applyBorder="1" applyAlignment="1">
      <alignment horizontal="center" vertical="center"/>
    </xf>
    <xf numFmtId="0" fontId="1" fillId="0" borderId="11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3" fontId="2" fillId="0" borderId="9" xfId="0" applyNumberFormat="1" applyFont="1" applyBorder="1" applyAlignment="1">
      <alignment horizontal="center" vertical="center"/>
    </xf>
    <xf numFmtId="3" fontId="2" fillId="0" borderId="11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3" fontId="4" fillId="0" borderId="14" xfId="0" applyNumberFormat="1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>
      <alignment horizontal="center" vertical="center"/>
    </xf>
    <xf numFmtId="3" fontId="4" fillId="0" borderId="9" xfId="0" applyNumberFormat="1" applyFont="1" applyBorder="1" applyAlignment="1" applyProtection="1">
      <alignment horizontal="center" vertical="center"/>
      <protection locked="0"/>
    </xf>
    <xf numFmtId="3" fontId="4" fillId="0" borderId="10" xfId="0" applyNumberFormat="1" applyFont="1" applyBorder="1" applyAlignment="1" applyProtection="1">
      <alignment horizontal="center" vertical="center"/>
      <protection locked="0"/>
    </xf>
    <xf numFmtId="3" fontId="4" fillId="0" borderId="11" xfId="0" applyNumberFormat="1" applyFont="1" applyBorder="1" applyAlignment="1" applyProtection="1">
      <alignment horizontal="center" vertical="center"/>
      <protection locked="0"/>
    </xf>
    <xf numFmtId="3" fontId="2" fillId="0" borderId="6" xfId="0" applyNumberFormat="1" applyFont="1" applyBorder="1" applyAlignment="1">
      <alignment horizontal="center" vertical="center"/>
    </xf>
    <xf numFmtId="3" fontId="2" fillId="0" borderId="7" xfId="0" applyNumberFormat="1" applyFont="1" applyBorder="1" applyAlignment="1">
      <alignment horizontal="center" vertical="center"/>
    </xf>
    <xf numFmtId="3" fontId="2" fillId="0" borderId="8" xfId="0" applyNumberFormat="1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165" fontId="18" fillId="0" borderId="10" xfId="0" applyNumberFormat="1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2" fillId="0" borderId="130" xfId="0" applyFont="1" applyBorder="1" applyAlignment="1">
      <alignment horizontal="left" vertical="center"/>
    </xf>
    <xf numFmtId="0" fontId="2" fillId="0" borderId="131" xfId="0" applyFont="1" applyBorder="1" applyAlignment="1">
      <alignment horizontal="left" vertical="center"/>
    </xf>
    <xf numFmtId="0" fontId="2" fillId="0" borderId="79" xfId="0" applyFont="1" applyBorder="1" applyAlignment="1">
      <alignment horizontal="left" vertical="center"/>
    </xf>
    <xf numFmtId="0" fontId="2" fillId="0" borderId="78" xfId="0" applyFont="1" applyBorder="1" applyAlignment="1">
      <alignment horizontal="center" vertical="center"/>
    </xf>
    <xf numFmtId="0" fontId="2" fillId="0" borderId="79" xfId="0" applyFont="1" applyBorder="1" applyAlignment="1">
      <alignment horizontal="center" vertical="center"/>
    </xf>
    <xf numFmtId="0" fontId="2" fillId="0" borderId="80" xfId="0" applyFont="1" applyBorder="1" applyAlignment="1">
      <alignment horizontal="center" vertical="center"/>
    </xf>
    <xf numFmtId="0" fontId="2" fillId="0" borderId="130" xfId="0" applyFont="1" applyBorder="1" applyAlignment="1">
      <alignment horizontal="center" vertical="center"/>
    </xf>
    <xf numFmtId="0" fontId="50" fillId="0" borderId="133" xfId="0" applyFont="1" applyBorder="1" applyAlignment="1">
      <alignment horizontal="center" vertical="center"/>
    </xf>
    <xf numFmtId="0" fontId="50" fillId="0" borderId="134" xfId="0" applyFont="1" applyBorder="1" applyAlignment="1">
      <alignment horizontal="center" vertical="center"/>
    </xf>
    <xf numFmtId="0" fontId="50" fillId="0" borderId="19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" fillId="0" borderId="136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0" borderId="171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" fillId="0" borderId="137" xfId="0" applyFont="1" applyBorder="1" applyAlignment="1">
      <alignment horizontal="center" vertical="center"/>
    </xf>
    <xf numFmtId="0" fontId="2" fillId="0" borderId="171" xfId="0" applyFont="1" applyBorder="1" applyAlignment="1">
      <alignment horizontal="center" vertical="center"/>
    </xf>
    <xf numFmtId="0" fontId="50" fillId="0" borderId="132" xfId="0" applyFont="1" applyBorder="1" applyAlignment="1">
      <alignment horizontal="center" vertical="center"/>
    </xf>
    <xf numFmtId="0" fontId="50" fillId="0" borderId="76" xfId="0" applyFont="1" applyBorder="1" applyAlignment="1">
      <alignment horizontal="center" vertical="center"/>
    </xf>
    <xf numFmtId="0" fontId="50" fillId="0" borderId="77" xfId="0" applyFont="1" applyBorder="1" applyAlignment="1">
      <alignment horizontal="center" vertical="center"/>
    </xf>
    <xf numFmtId="0" fontId="55" fillId="0" borderId="192" xfId="0" applyFont="1" applyBorder="1" applyAlignment="1" applyProtection="1">
      <alignment horizontal="center" vertical="center"/>
      <protection locked="0"/>
    </xf>
    <xf numFmtId="0" fontId="55" fillId="0" borderId="172" xfId="0" applyFont="1" applyBorder="1" applyAlignment="1" applyProtection="1">
      <alignment horizontal="center" vertical="center"/>
      <protection locked="0"/>
    </xf>
    <xf numFmtId="0" fontId="55" fillId="0" borderId="173" xfId="0" applyFont="1" applyBorder="1" applyAlignment="1" applyProtection="1">
      <alignment horizontal="center" vertical="center"/>
      <protection locked="0"/>
    </xf>
    <xf numFmtId="0" fontId="55" fillId="0" borderId="11" xfId="0" applyFont="1" applyBorder="1" applyAlignment="1" applyProtection="1">
      <alignment horizontal="center" vertical="center"/>
      <protection locked="0"/>
    </xf>
    <xf numFmtId="0" fontId="55" fillId="0" borderId="14" xfId="0" applyFont="1" applyBorder="1" applyAlignment="1" applyProtection="1">
      <alignment horizontal="center" vertical="center"/>
      <protection locked="0"/>
    </xf>
    <xf numFmtId="0" fontId="55" fillId="0" borderId="170" xfId="0" applyFont="1" applyBorder="1" applyAlignment="1" applyProtection="1">
      <alignment horizontal="center" vertical="center"/>
      <protection locked="0"/>
    </xf>
    <xf numFmtId="0" fontId="55" fillId="0" borderId="75" xfId="0" applyFont="1" applyBorder="1" applyAlignment="1">
      <alignment horizontal="center" vertical="center"/>
    </xf>
    <xf numFmtId="0" fontId="55" fillId="0" borderId="76" xfId="0" applyFont="1" applyBorder="1" applyAlignment="1">
      <alignment horizontal="center" vertical="center"/>
    </xf>
    <xf numFmtId="0" fontId="55" fillId="0" borderId="158" xfId="0" applyFont="1" applyBorder="1" applyAlignment="1">
      <alignment horizontal="center" vertical="center"/>
    </xf>
    <xf numFmtId="0" fontId="55" fillId="0" borderId="7" xfId="0" applyFont="1" applyBorder="1" applyAlignment="1">
      <alignment horizontal="center" vertical="center"/>
    </xf>
    <xf numFmtId="0" fontId="2" fillId="0" borderId="170" xfId="0" applyFont="1" applyBorder="1" applyAlignment="1">
      <alignment horizontal="center" vertical="center"/>
    </xf>
    <xf numFmtId="0" fontId="50" fillId="0" borderId="75" xfId="0" applyFont="1" applyBorder="1" applyAlignment="1">
      <alignment horizontal="center" vertical="center"/>
    </xf>
    <xf numFmtId="165" fontId="2" fillId="0" borderId="14" xfId="0" applyNumberFormat="1" applyFont="1" applyBorder="1" applyAlignment="1">
      <alignment horizontal="center" vertical="center"/>
    </xf>
    <xf numFmtId="165" fontId="50" fillId="0" borderId="11" xfId="0" applyNumberFormat="1" applyFont="1" applyBorder="1" applyAlignment="1">
      <alignment horizontal="center" vertical="center"/>
    </xf>
    <xf numFmtId="165" fontId="50" fillId="0" borderId="14" xfId="0" applyNumberFormat="1" applyFont="1" applyBorder="1" applyAlignment="1">
      <alignment horizontal="center" vertical="center"/>
    </xf>
    <xf numFmtId="165" fontId="50" fillId="0" borderId="170" xfId="0" applyNumberFormat="1" applyFont="1" applyBorder="1" applyAlignment="1">
      <alignment horizontal="center" vertical="center"/>
    </xf>
    <xf numFmtId="0" fontId="65" fillId="0" borderId="75" xfId="0" applyFont="1" applyBorder="1" applyAlignment="1">
      <alignment horizontal="center" vertical="center" wrapText="1"/>
    </xf>
    <xf numFmtId="0" fontId="65" fillId="0" borderId="76" xfId="0" applyFont="1" applyBorder="1" applyAlignment="1">
      <alignment horizontal="center" vertical="center" wrapText="1"/>
    </xf>
    <xf numFmtId="0" fontId="65" fillId="0" borderId="77" xfId="0" applyFont="1" applyBorder="1" applyAlignment="1">
      <alignment horizontal="center" vertical="center" wrapText="1"/>
    </xf>
    <xf numFmtId="0" fontId="65" fillId="0" borderId="130" xfId="0" applyFont="1" applyBorder="1" applyAlignment="1">
      <alignment horizontal="center" vertical="center" wrapText="1"/>
    </xf>
    <xf numFmtId="0" fontId="65" fillId="0" borderId="0" xfId="0" applyFont="1" applyAlignment="1">
      <alignment horizontal="center" vertical="center" wrapText="1"/>
    </xf>
    <xf numFmtId="0" fontId="65" fillId="0" borderId="78" xfId="0" applyFont="1" applyBorder="1" applyAlignment="1">
      <alignment horizontal="center" vertical="center" wrapText="1"/>
    </xf>
    <xf numFmtId="0" fontId="2" fillId="0" borderId="141" xfId="0" applyFont="1" applyBorder="1" applyAlignment="1">
      <alignment horizontal="center" vertical="center"/>
    </xf>
    <xf numFmtId="0" fontId="2" fillId="0" borderId="135" xfId="0" applyFont="1" applyBorder="1" applyAlignment="1">
      <alignment horizontal="center" vertical="center"/>
    </xf>
    <xf numFmtId="0" fontId="2" fillId="0" borderId="75" xfId="0" applyFont="1" applyBorder="1" applyAlignment="1">
      <alignment horizontal="left" vertical="center"/>
    </xf>
    <xf numFmtId="0" fontId="2" fillId="0" borderId="76" xfId="0" applyFont="1" applyBorder="1" applyAlignment="1">
      <alignment horizontal="left" vertical="center"/>
    </xf>
    <xf numFmtId="0" fontId="2" fillId="0" borderId="76" xfId="0" applyFont="1" applyBorder="1" applyAlignment="1">
      <alignment horizontal="center" vertical="center"/>
    </xf>
    <xf numFmtId="0" fontId="2" fillId="0" borderId="77" xfId="0" applyFont="1" applyBorder="1" applyAlignment="1">
      <alignment horizontal="center" vertical="center"/>
    </xf>
    <xf numFmtId="0" fontId="2" fillId="0" borderId="191" xfId="0" applyFont="1" applyBorder="1" applyAlignment="1">
      <alignment horizontal="center" vertical="center"/>
    </xf>
    <xf numFmtId="0" fontId="2" fillId="0" borderId="229" xfId="0" applyFont="1" applyBorder="1" applyAlignment="1">
      <alignment horizontal="center" vertical="center"/>
    </xf>
    <xf numFmtId="166" fontId="2" fillId="0" borderId="191" xfId="0" applyNumberFormat="1" applyFont="1" applyBorder="1" applyAlignment="1">
      <alignment horizontal="center" vertical="center"/>
    </xf>
    <xf numFmtId="166" fontId="2" fillId="0" borderId="79" xfId="0" applyNumberFormat="1" applyFont="1" applyBorder="1" applyAlignment="1">
      <alignment horizontal="center" vertical="center"/>
    </xf>
    <xf numFmtId="166" fontId="2" fillId="0" borderId="80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166" fontId="2" fillId="0" borderId="170" xfId="0" applyNumberFormat="1" applyFont="1" applyBorder="1" applyAlignment="1">
      <alignment horizontal="center" vertical="center"/>
    </xf>
    <xf numFmtId="166" fontId="2" fillId="0" borderId="178" xfId="0" applyNumberFormat="1" applyFont="1" applyBorder="1" applyAlignment="1">
      <alignment horizontal="center" vertical="center"/>
    </xf>
    <xf numFmtId="0" fontId="2" fillId="0" borderId="13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17" xfId="0" applyFont="1" applyBorder="1" applyAlignment="1">
      <alignment horizontal="center" vertical="center"/>
    </xf>
    <xf numFmtId="0" fontId="2" fillId="0" borderId="216" xfId="0" applyFont="1" applyBorder="1" applyAlignment="1">
      <alignment horizontal="center" vertical="center"/>
    </xf>
    <xf numFmtId="0" fontId="2" fillId="0" borderId="218" xfId="0" applyFont="1" applyBorder="1" applyAlignment="1">
      <alignment horizontal="center" vertical="center"/>
    </xf>
    <xf numFmtId="0" fontId="50" fillId="0" borderId="135" xfId="0" applyFont="1" applyBorder="1" applyAlignment="1">
      <alignment horizontal="center" vertical="center"/>
    </xf>
    <xf numFmtId="0" fontId="50" fillId="0" borderId="10" xfId="0" applyFont="1" applyBorder="1" applyAlignment="1">
      <alignment horizontal="center" vertical="center"/>
    </xf>
    <xf numFmtId="0" fontId="50" fillId="0" borderId="1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 wrapText="1"/>
    </xf>
    <xf numFmtId="0" fontId="55" fillId="0" borderId="157" xfId="0" applyFont="1" applyBorder="1" applyAlignment="1">
      <alignment horizontal="center" vertical="center"/>
    </xf>
    <xf numFmtId="0" fontId="55" fillId="0" borderId="2" xfId="0" applyFont="1" applyBorder="1" applyAlignment="1">
      <alignment horizontal="center" vertical="center"/>
    </xf>
    <xf numFmtId="0" fontId="55" fillId="0" borderId="3" xfId="0" applyFont="1" applyBorder="1" applyAlignment="1">
      <alignment horizontal="center" vertical="center"/>
    </xf>
    <xf numFmtId="0" fontId="55" fillId="0" borderId="8" xfId="0" applyFont="1" applyBorder="1" applyAlignment="1">
      <alignment horizontal="center" vertical="center"/>
    </xf>
    <xf numFmtId="0" fontId="2" fillId="0" borderId="157" xfId="0" applyFont="1" applyBorder="1" applyAlignment="1">
      <alignment horizontal="center" vertical="center"/>
    </xf>
    <xf numFmtId="0" fontId="2" fillId="0" borderId="158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0" xfId="0" applyFont="1" applyBorder="1" applyAlignment="1">
      <alignment horizontal="center" vertical="center"/>
    </xf>
    <xf numFmtId="166" fontId="2" fillId="0" borderId="130" xfId="0" applyNumberFormat="1" applyFont="1" applyBorder="1" applyAlignment="1">
      <alignment horizontal="center" vertical="center"/>
    </xf>
    <xf numFmtId="0" fontId="2" fillId="0" borderId="131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70" xfId="0" applyFont="1" applyBorder="1" applyAlignment="1">
      <alignment horizontal="center" vertical="center" wrapText="1"/>
    </xf>
    <xf numFmtId="165" fontId="2" fillId="0" borderId="11" xfId="0" applyNumberFormat="1" applyFont="1" applyBorder="1" applyAlignment="1">
      <alignment horizontal="center" vertical="center"/>
    </xf>
    <xf numFmtId="165" fontId="2" fillId="0" borderId="3" xfId="0" applyNumberFormat="1" applyFont="1" applyBorder="1" applyAlignment="1">
      <alignment horizontal="center" vertical="center"/>
    </xf>
    <xf numFmtId="165" fontId="2" fillId="0" borderId="12" xfId="0" applyNumberFormat="1" applyFont="1" applyBorder="1" applyAlignment="1">
      <alignment horizontal="center" vertical="center"/>
    </xf>
    <xf numFmtId="0" fontId="55" fillId="0" borderId="14" xfId="0" applyFont="1" applyBorder="1" applyAlignment="1">
      <alignment horizontal="center" vertical="center"/>
    </xf>
    <xf numFmtId="0" fontId="55" fillId="0" borderId="170" xfId="0" applyFont="1" applyBorder="1" applyAlignment="1">
      <alignment horizontal="center" vertical="center"/>
    </xf>
    <xf numFmtId="0" fontId="21" fillId="0" borderId="170" xfId="0" applyFont="1" applyBorder="1" applyAlignment="1">
      <alignment horizontal="center" vertical="center" wrapText="1"/>
    </xf>
    <xf numFmtId="0" fontId="55" fillId="0" borderId="172" xfId="0" applyFont="1" applyBorder="1" applyAlignment="1">
      <alignment horizontal="center" vertical="center"/>
    </xf>
    <xf numFmtId="0" fontId="55" fillId="0" borderId="173" xfId="0" applyFont="1" applyBorder="1" applyAlignment="1">
      <alignment horizontal="center" vertical="center"/>
    </xf>
    <xf numFmtId="0" fontId="21" fillId="0" borderId="178" xfId="0" applyFont="1" applyBorder="1" applyAlignment="1">
      <alignment horizontal="center" vertical="center" wrapText="1"/>
    </xf>
    <xf numFmtId="0" fontId="21" fillId="0" borderId="179" xfId="0" applyFont="1" applyBorder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0" fontId="76" fillId="0" borderId="10" xfId="0" applyFont="1" applyBorder="1" applyAlignment="1">
      <alignment horizontal="left" vertical="center"/>
    </xf>
    <xf numFmtId="0" fontId="76" fillId="0" borderId="11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 wrapText="1"/>
    </xf>
    <xf numFmtId="0" fontId="14" fillId="0" borderId="170" xfId="0" applyFont="1" applyBorder="1" applyAlignment="1">
      <alignment horizontal="center" vertical="center" wrapText="1"/>
    </xf>
    <xf numFmtId="0" fontId="14" fillId="0" borderId="224" xfId="0" applyFont="1" applyBorder="1" applyAlignment="1">
      <alignment horizontal="center" vertical="center" wrapText="1"/>
    </xf>
    <xf numFmtId="0" fontId="14" fillId="0" borderId="225" xfId="0" applyFont="1" applyBorder="1" applyAlignment="1">
      <alignment horizontal="center" vertical="center" wrapText="1"/>
    </xf>
    <xf numFmtId="0" fontId="14" fillId="0" borderId="14" xfId="0" applyFont="1" applyBorder="1" applyAlignment="1">
      <alignment horizontal="center" vertical="center"/>
    </xf>
    <xf numFmtId="0" fontId="14" fillId="0" borderId="170" xfId="0" applyFont="1" applyBorder="1" applyAlignment="1">
      <alignment horizontal="center" vertical="center"/>
    </xf>
    <xf numFmtId="0" fontId="20" fillId="0" borderId="222" xfId="0" applyFont="1" applyBorder="1" applyAlignment="1">
      <alignment horizontal="center" vertical="center" wrapText="1"/>
    </xf>
    <xf numFmtId="0" fontId="20" fillId="0" borderId="172" xfId="0" applyFont="1" applyBorder="1" applyAlignment="1">
      <alignment horizontal="center" vertical="center" wrapText="1"/>
    </xf>
    <xf numFmtId="0" fontId="20" fillId="0" borderId="173" xfId="0" applyFont="1" applyBorder="1" applyAlignment="1">
      <alignment horizontal="center" vertical="center" wrapText="1"/>
    </xf>
    <xf numFmtId="0" fontId="66" fillId="0" borderId="171" xfId="0" applyFont="1" applyBorder="1" applyAlignment="1">
      <alignment horizontal="center" vertical="center"/>
    </xf>
    <xf numFmtId="0" fontId="66" fillId="0" borderId="14" xfId="0" applyFont="1" applyBorder="1" applyAlignment="1">
      <alignment horizontal="center" vertical="center"/>
    </xf>
    <xf numFmtId="0" fontId="66" fillId="0" borderId="135" xfId="0" applyFont="1" applyBorder="1" applyAlignment="1">
      <alignment horizontal="center" vertical="center"/>
    </xf>
    <xf numFmtId="0" fontId="66" fillId="0" borderId="11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20" fillId="0" borderId="226" xfId="0" applyFont="1" applyBorder="1" applyAlignment="1">
      <alignment horizontal="center" vertical="center" wrapText="1"/>
    </xf>
    <xf numFmtId="0" fontId="14" fillId="0" borderId="190" xfId="0" applyFont="1" applyBorder="1" applyAlignment="1">
      <alignment horizontal="center" vertical="center" wrapText="1"/>
    </xf>
    <xf numFmtId="0" fontId="14" fillId="0" borderId="230" xfId="0" applyFont="1" applyBorder="1" applyAlignment="1">
      <alignment horizontal="center" vertical="center" wrapText="1"/>
    </xf>
    <xf numFmtId="0" fontId="20" fillId="0" borderId="214" xfId="0" applyFont="1" applyBorder="1" applyAlignment="1">
      <alignment horizontal="center" vertical="center" wrapText="1"/>
    </xf>
    <xf numFmtId="0" fontId="20" fillId="0" borderId="212" xfId="0" applyFont="1" applyBorder="1" applyAlignment="1">
      <alignment horizontal="center" vertical="center" wrapText="1"/>
    </xf>
    <xf numFmtId="0" fontId="66" fillId="0" borderId="9" xfId="0" applyFont="1" applyBorder="1" applyAlignment="1">
      <alignment horizontal="center" vertical="center"/>
    </xf>
    <xf numFmtId="0" fontId="50" fillId="0" borderId="171" xfId="0" applyFont="1" applyBorder="1" applyAlignment="1">
      <alignment horizontal="center" vertical="center"/>
    </xf>
    <xf numFmtId="0" fontId="50" fillId="0" borderId="9" xfId="0" applyFont="1" applyBorder="1" applyAlignment="1">
      <alignment horizontal="center" vertical="center"/>
    </xf>
    <xf numFmtId="0" fontId="14" fillId="0" borderId="217" xfId="0" applyFont="1" applyBorder="1" applyAlignment="1">
      <alignment horizontal="center" vertical="center" wrapText="1"/>
    </xf>
    <xf numFmtId="0" fontId="14" fillId="0" borderId="224" xfId="0" applyFont="1" applyBorder="1" applyAlignment="1">
      <alignment horizontal="center" vertical="center"/>
    </xf>
    <xf numFmtId="0" fontId="14" fillId="0" borderId="225" xfId="0" applyFont="1" applyBorder="1" applyAlignment="1">
      <alignment horizontal="center" vertical="center"/>
    </xf>
    <xf numFmtId="0" fontId="14" fillId="0" borderId="217" xfId="0" applyFont="1" applyBorder="1" applyAlignment="1">
      <alignment horizontal="center" vertical="center"/>
    </xf>
    <xf numFmtId="0" fontId="66" fillId="0" borderId="75" xfId="0" applyFont="1" applyBorder="1" applyAlignment="1">
      <alignment horizontal="center" vertical="center" wrapText="1"/>
    </xf>
    <xf numFmtId="0" fontId="66" fillId="0" borderId="76" xfId="0" applyFont="1" applyBorder="1" applyAlignment="1">
      <alignment horizontal="center" vertical="center" wrapText="1"/>
    </xf>
    <xf numFmtId="0" fontId="66" fillId="0" borderId="77" xfId="0" applyFont="1" applyBorder="1" applyAlignment="1">
      <alignment horizontal="center" vertical="center" wrapText="1"/>
    </xf>
    <xf numFmtId="0" fontId="66" fillId="0" borderId="130" xfId="0" applyFont="1" applyBorder="1" applyAlignment="1">
      <alignment horizontal="center" vertical="center" wrapText="1"/>
    </xf>
    <xf numFmtId="0" fontId="66" fillId="0" borderId="0" xfId="0" applyFont="1" applyAlignment="1">
      <alignment horizontal="center" vertical="center" wrapText="1"/>
    </xf>
    <xf numFmtId="0" fontId="66" fillId="0" borderId="78" xfId="0" applyFont="1" applyBorder="1" applyAlignment="1">
      <alignment horizontal="center" vertical="center" wrapText="1"/>
    </xf>
    <xf numFmtId="0" fontId="71" fillId="0" borderId="178" xfId="0" applyFont="1" applyBorder="1" applyAlignment="1">
      <alignment horizontal="center" vertical="center" wrapText="1"/>
    </xf>
    <xf numFmtId="0" fontId="71" fillId="0" borderId="179" xfId="0" applyFont="1" applyBorder="1" applyAlignment="1">
      <alignment horizontal="center" vertical="center" wrapText="1"/>
    </xf>
    <xf numFmtId="0" fontId="70" fillId="0" borderId="17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66" fillId="0" borderId="75" xfId="0" applyFont="1" applyBorder="1" applyAlignment="1">
      <alignment horizontal="center" vertical="center"/>
    </xf>
    <xf numFmtId="0" fontId="66" fillId="0" borderId="76" xfId="0" applyFont="1" applyBorder="1" applyAlignment="1">
      <alignment horizontal="center" vertical="center"/>
    </xf>
    <xf numFmtId="0" fontId="66" fillId="0" borderId="77" xfId="0" applyFont="1" applyBorder="1" applyAlignment="1">
      <alignment horizontal="center" vertical="center"/>
    </xf>
    <xf numFmtId="0" fontId="66" fillId="0" borderId="15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140" xfId="0" applyFont="1" applyBorder="1" applyAlignment="1">
      <alignment horizontal="center" vertical="center"/>
    </xf>
    <xf numFmtId="0" fontId="70" fillId="0" borderId="231" xfId="0" applyFont="1" applyBorder="1" applyAlignment="1">
      <alignment horizontal="center" vertical="center" wrapText="1"/>
    </xf>
    <xf numFmtId="0" fontId="71" fillId="0" borderId="171" xfId="0" applyFont="1" applyBorder="1" applyAlignment="1">
      <alignment horizontal="center" vertical="center" wrapText="1"/>
    </xf>
    <xf numFmtId="0" fontId="71" fillId="0" borderId="9" xfId="0" applyFont="1" applyBorder="1" applyAlignment="1">
      <alignment horizontal="center" vertical="center" wrapText="1"/>
    </xf>
    <xf numFmtId="0" fontId="2" fillId="0" borderId="178" xfId="0" applyFont="1" applyBorder="1" applyAlignment="1">
      <alignment horizontal="center" vertical="center"/>
    </xf>
    <xf numFmtId="0" fontId="2" fillId="0" borderId="179" xfId="0" applyFont="1" applyBorder="1" applyAlignment="1">
      <alignment horizontal="center" vertic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2" fontId="14" fillId="0" borderId="9" xfId="0" applyNumberFormat="1" applyFont="1" applyBorder="1" applyAlignment="1">
      <alignment horizontal="center" vertical="center"/>
    </xf>
    <xf numFmtId="2" fontId="14" fillId="0" borderId="1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2" fontId="2" fillId="0" borderId="8" xfId="0" applyNumberFormat="1" applyFont="1" applyBorder="1" applyAlignment="1">
      <alignment horizontal="center"/>
    </xf>
    <xf numFmtId="2" fontId="30" fillId="0" borderId="9" xfId="0" applyNumberFormat="1" applyFont="1" applyBorder="1" applyAlignment="1" applyProtection="1">
      <alignment horizontal="center" vertical="center"/>
      <protection locked="0"/>
    </xf>
    <xf numFmtId="2" fontId="30" fillId="0" borderId="11" xfId="0" applyNumberFormat="1" applyFont="1" applyBorder="1" applyAlignment="1" applyProtection="1">
      <alignment horizontal="center" vertical="center"/>
      <protection locked="0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8" xfId="0" applyFont="1" applyBorder="1" applyAlignment="1">
      <alignment horizontal="center"/>
    </xf>
    <xf numFmtId="2" fontId="2" fillId="0" borderId="9" xfId="0" applyNumberFormat="1" applyFont="1" applyBorder="1" applyAlignment="1">
      <alignment horizontal="center"/>
    </xf>
    <xf numFmtId="2" fontId="2" fillId="0" borderId="10" xfId="0" applyNumberFormat="1" applyFont="1" applyBorder="1" applyAlignment="1">
      <alignment horizontal="center"/>
    </xf>
    <xf numFmtId="2" fontId="2" fillId="0" borderId="11" xfId="0" applyNumberFormat="1" applyFont="1" applyBorder="1" applyAlignment="1">
      <alignment horizontal="center"/>
    </xf>
    <xf numFmtId="0" fontId="23" fillId="0" borderId="4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23" fillId="0" borderId="5" xfId="0" applyFont="1" applyBorder="1" applyAlignment="1">
      <alignment horizontal="center"/>
    </xf>
    <xf numFmtId="0" fontId="2" fillId="0" borderId="10" xfId="0" applyFont="1" applyBorder="1" applyAlignment="1">
      <alignment horizontal="left" vertical="center"/>
    </xf>
    <xf numFmtId="3" fontId="7" fillId="6" borderId="0" xfId="0" applyNumberFormat="1" applyFont="1" applyFill="1" applyAlignment="1">
      <alignment horizontal="center" vertical="center"/>
    </xf>
    <xf numFmtId="3" fontId="7" fillId="5" borderId="52" xfId="0" applyNumberFormat="1" applyFont="1" applyFill="1" applyBorder="1" applyAlignment="1">
      <alignment horizontal="center" vertical="center"/>
    </xf>
    <xf numFmtId="3" fontId="7" fillId="5" borderId="0" xfId="0" applyNumberFormat="1" applyFont="1" applyFill="1" applyAlignment="1">
      <alignment horizontal="center" vertical="center"/>
    </xf>
    <xf numFmtId="3" fontId="7" fillId="5" borderId="18" xfId="0" applyNumberFormat="1" applyFont="1" applyFill="1" applyBorder="1" applyAlignment="1">
      <alignment horizontal="center" vertical="center"/>
    </xf>
    <xf numFmtId="0" fontId="13" fillId="7" borderId="125" xfId="0" applyFont="1" applyFill="1" applyBorder="1" applyAlignment="1">
      <alignment horizontal="center" vertical="center"/>
    </xf>
    <xf numFmtId="0" fontId="13" fillId="7" borderId="123" xfId="0" applyFont="1" applyFill="1" applyBorder="1" applyAlignment="1">
      <alignment horizontal="center" vertical="center"/>
    </xf>
    <xf numFmtId="0" fontId="13" fillId="7" borderId="124" xfId="0" applyFont="1" applyFill="1" applyBorder="1" applyAlignment="1">
      <alignment horizontal="center" vertical="center"/>
    </xf>
    <xf numFmtId="0" fontId="13" fillId="7" borderId="33" xfId="0" applyFont="1" applyFill="1" applyBorder="1" applyAlignment="1">
      <alignment horizontal="center" vertical="center"/>
    </xf>
    <xf numFmtId="0" fontId="13" fillId="7" borderId="62" xfId="0" applyFont="1" applyFill="1" applyBorder="1" applyAlignment="1">
      <alignment horizontal="center" vertical="center"/>
    </xf>
    <xf numFmtId="0" fontId="13" fillId="7" borderId="63" xfId="0" applyFont="1" applyFill="1" applyBorder="1" applyAlignment="1">
      <alignment horizontal="center" vertical="center"/>
    </xf>
    <xf numFmtId="0" fontId="0" fillId="0" borderId="128" xfId="0" applyBorder="1" applyAlignment="1">
      <alignment horizontal="left" vertical="center"/>
    </xf>
    <xf numFmtId="0" fontId="0" fillId="0" borderId="129" xfId="0" applyBorder="1" applyAlignment="1">
      <alignment horizontal="left" vertical="center"/>
    </xf>
    <xf numFmtId="0" fontId="0" fillId="8" borderId="39" xfId="0" applyFill="1" applyBorder="1" applyAlignment="1">
      <alignment horizontal="left" vertical="center"/>
    </xf>
    <xf numFmtId="0" fontId="0" fillId="8" borderId="42" xfId="0" applyFill="1" applyBorder="1" applyAlignment="1">
      <alignment horizontal="left" vertical="center"/>
    </xf>
    <xf numFmtId="0" fontId="0" fillId="0" borderId="125" xfId="0" applyBorder="1" applyAlignment="1">
      <alignment horizontal="left" vertical="center"/>
    </xf>
    <xf numFmtId="0" fontId="0" fillId="0" borderId="123" xfId="0" applyBorder="1" applyAlignment="1">
      <alignment horizontal="left" vertical="center"/>
    </xf>
    <xf numFmtId="0" fontId="0" fillId="8" borderId="65" xfId="0" applyFill="1" applyBorder="1" applyAlignment="1">
      <alignment horizontal="left" vertical="center"/>
    </xf>
    <xf numFmtId="0" fontId="0" fillId="8" borderId="72" xfId="0" applyFill="1" applyBorder="1" applyAlignment="1">
      <alignment horizontal="left" vertical="center"/>
    </xf>
    <xf numFmtId="0" fontId="0" fillId="8" borderId="64" xfId="0" applyFill="1" applyBorder="1" applyAlignment="1">
      <alignment horizontal="left" vertical="center"/>
    </xf>
    <xf numFmtId="0" fontId="0" fillId="0" borderId="39" xfId="0" applyBorder="1" applyAlignment="1">
      <alignment horizontal="left" vertical="center"/>
    </xf>
    <xf numFmtId="0" fontId="0" fillId="0" borderId="42" xfId="0" applyBorder="1" applyAlignment="1">
      <alignment horizontal="left" vertical="center"/>
    </xf>
    <xf numFmtId="0" fontId="0" fillId="0" borderId="64" xfId="0" applyBorder="1" applyAlignment="1">
      <alignment horizontal="left" vertical="center"/>
    </xf>
    <xf numFmtId="0" fontId="0" fillId="0" borderId="72" xfId="0" applyBorder="1" applyAlignment="1">
      <alignment horizontal="left" vertical="center"/>
    </xf>
    <xf numFmtId="0" fontId="0" fillId="8" borderId="64" xfId="0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0" borderId="47" xfId="0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0" fillId="0" borderId="64" xfId="0" applyBorder="1" applyAlignment="1">
      <alignment horizontal="left"/>
    </xf>
    <xf numFmtId="0" fontId="0" fillId="0" borderId="65" xfId="0" applyBorder="1" applyAlignment="1">
      <alignment horizontal="left"/>
    </xf>
    <xf numFmtId="0" fontId="0" fillId="0" borderId="38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8" borderId="57" xfId="0" applyFill="1" applyBorder="1" applyAlignment="1">
      <alignment horizontal="left"/>
    </xf>
    <xf numFmtId="0" fontId="0" fillId="8" borderId="250" xfId="0" applyFill="1" applyBorder="1" applyAlignment="1">
      <alignment horizontal="left"/>
    </xf>
    <xf numFmtId="0" fontId="0" fillId="8" borderId="55" xfId="0" applyFill="1" applyBorder="1" applyAlignment="1">
      <alignment horizontal="left"/>
    </xf>
    <xf numFmtId="0" fontId="0" fillId="8" borderId="0" xfId="0" applyFill="1" applyAlignment="1">
      <alignment horizontal="left"/>
    </xf>
    <xf numFmtId="0" fontId="13" fillId="2" borderId="0" xfId="0" applyFont="1" applyFill="1" applyAlignment="1">
      <alignment horizontal="center" vertical="center"/>
    </xf>
    <xf numFmtId="0" fontId="13" fillId="2" borderId="25" xfId="0" applyFont="1" applyFill="1" applyBorder="1" applyAlignment="1">
      <alignment horizontal="center" vertical="center"/>
    </xf>
    <xf numFmtId="0" fontId="13" fillId="7" borderId="252" xfId="0" applyFont="1" applyFill="1" applyBorder="1" applyAlignment="1">
      <alignment horizontal="center"/>
    </xf>
    <xf numFmtId="0" fontId="13" fillId="7" borderId="253" xfId="0" applyFont="1" applyFill="1" applyBorder="1" applyAlignment="1">
      <alignment horizontal="center"/>
    </xf>
    <xf numFmtId="0" fontId="13" fillId="7" borderId="254" xfId="0" applyFont="1" applyFill="1" applyBorder="1" applyAlignment="1">
      <alignment horizontal="center"/>
    </xf>
    <xf numFmtId="0" fontId="0" fillId="0" borderId="55" xfId="0" applyBorder="1" applyAlignment="1">
      <alignment horizontal="left"/>
    </xf>
    <xf numFmtId="0" fontId="0" fillId="0" borderId="0" xfId="0" applyAlignment="1">
      <alignment horizontal="left"/>
    </xf>
    <xf numFmtId="0" fontId="6" fillId="0" borderId="57" xfId="0" applyFont="1" applyBorder="1" applyAlignment="1">
      <alignment horizontal="left" vertical="center"/>
    </xf>
    <xf numFmtId="0" fontId="6" fillId="0" borderId="250" xfId="0" applyFont="1" applyBorder="1" applyAlignment="1">
      <alignment horizontal="left" vertical="center"/>
    </xf>
    <xf numFmtId="0" fontId="13" fillId="2" borderId="26" xfId="0" applyFont="1" applyFill="1" applyBorder="1" applyAlignment="1">
      <alignment horizontal="center" vertical="center"/>
    </xf>
    <xf numFmtId="0" fontId="0" fillId="8" borderId="38" xfId="0" applyFill="1" applyBorder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0" fillId="0" borderId="115" xfId="0" applyBorder="1" applyAlignment="1">
      <alignment horizontal="left" vertical="center"/>
    </xf>
    <xf numFmtId="0" fontId="0" fillId="0" borderId="116" xfId="0" applyBorder="1" applyAlignment="1">
      <alignment horizontal="left" vertical="center"/>
    </xf>
    <xf numFmtId="0" fontId="9" fillId="7" borderId="252" xfId="0" applyFont="1" applyFill="1" applyBorder="1" applyAlignment="1">
      <alignment horizontal="center"/>
    </xf>
    <xf numFmtId="0" fontId="9" fillId="7" borderId="253" xfId="0" applyFont="1" applyFill="1" applyBorder="1" applyAlignment="1">
      <alignment horizontal="center"/>
    </xf>
    <xf numFmtId="0" fontId="9" fillId="7" borderId="254" xfId="0" applyFont="1" applyFill="1" applyBorder="1" applyAlignment="1">
      <alignment horizontal="center"/>
    </xf>
    <xf numFmtId="10" fontId="0" fillId="0" borderId="47" xfId="0" applyNumberFormat="1" applyBorder="1" applyAlignment="1">
      <alignment horizontal="left" vertical="center"/>
    </xf>
    <xf numFmtId="10" fontId="0" fillId="0" borderId="24" xfId="0" applyNumberFormat="1" applyBorder="1" applyAlignment="1">
      <alignment horizontal="left" vertical="center"/>
    </xf>
    <xf numFmtId="10" fontId="0" fillId="0" borderId="38" xfId="0" applyNumberFormat="1" applyBorder="1" applyAlignment="1">
      <alignment horizontal="left" vertical="center"/>
    </xf>
    <xf numFmtId="10" fontId="0" fillId="0" borderId="25" xfId="0" applyNumberFormat="1" applyBorder="1" applyAlignment="1">
      <alignment horizontal="left" vertical="center"/>
    </xf>
    <xf numFmtId="0" fontId="13" fillId="2" borderId="38" xfId="0" applyFont="1" applyFill="1" applyBorder="1" applyAlignment="1">
      <alignment horizontal="center" vertical="center"/>
    </xf>
    <xf numFmtId="0" fontId="6" fillId="0" borderId="55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13" fillId="7" borderId="81" xfId="0" applyFont="1" applyFill="1" applyBorder="1" applyAlignment="1">
      <alignment horizontal="center"/>
    </xf>
    <xf numFmtId="0" fontId="13" fillId="7" borderId="82" xfId="0" applyFont="1" applyFill="1" applyBorder="1" applyAlignment="1">
      <alignment horizontal="center"/>
    </xf>
    <xf numFmtId="0" fontId="13" fillId="7" borderId="83" xfId="0" applyFont="1" applyFill="1" applyBorder="1" applyAlignment="1">
      <alignment horizontal="center"/>
    </xf>
    <xf numFmtId="0" fontId="13" fillId="7" borderId="118" xfId="0" applyFont="1" applyFill="1" applyBorder="1" applyAlignment="1">
      <alignment horizontal="center"/>
    </xf>
    <xf numFmtId="0" fontId="13" fillId="7" borderId="119" xfId="0" applyFont="1" applyFill="1" applyBorder="1" applyAlignment="1">
      <alignment horizontal="center"/>
    </xf>
    <xf numFmtId="0" fontId="13" fillId="7" borderId="120" xfId="0" applyFont="1" applyFill="1" applyBorder="1" applyAlignment="1">
      <alignment horizontal="center"/>
    </xf>
    <xf numFmtId="0" fontId="13" fillId="7" borderId="125" xfId="0" applyFont="1" applyFill="1" applyBorder="1" applyAlignment="1">
      <alignment horizontal="center"/>
    </xf>
    <xf numFmtId="0" fontId="13" fillId="7" borderId="123" xfId="0" applyFont="1" applyFill="1" applyBorder="1" applyAlignment="1">
      <alignment horizontal="center"/>
    </xf>
    <xf numFmtId="0" fontId="13" fillId="7" borderId="124" xfId="0" applyFont="1" applyFill="1" applyBorder="1" applyAlignment="1">
      <alignment horizontal="center"/>
    </xf>
    <xf numFmtId="0" fontId="13" fillId="7" borderId="33" xfId="0" applyFont="1" applyFill="1" applyBorder="1" applyAlignment="1">
      <alignment horizontal="center"/>
    </xf>
    <xf numFmtId="0" fontId="13" fillId="7" borderId="62" xfId="0" applyFont="1" applyFill="1" applyBorder="1" applyAlignment="1">
      <alignment horizontal="center"/>
    </xf>
    <xf numFmtId="0" fontId="13" fillId="7" borderId="258" xfId="0" applyFont="1" applyFill="1" applyBorder="1" applyAlignment="1">
      <alignment horizontal="center"/>
    </xf>
    <xf numFmtId="0" fontId="0" fillId="8" borderId="21" xfId="0" applyFill="1" applyBorder="1" applyAlignment="1">
      <alignment horizontal="left" vertical="center"/>
    </xf>
    <xf numFmtId="0" fontId="13" fillId="7" borderId="35" xfId="0" applyFont="1" applyFill="1" applyBorder="1" applyAlignment="1">
      <alignment horizontal="center"/>
    </xf>
    <xf numFmtId="0" fontId="13" fillId="7" borderId="70" xfId="0" applyFont="1" applyFill="1" applyBorder="1" applyAlignment="1">
      <alignment horizontal="center"/>
    </xf>
    <xf numFmtId="0" fontId="13" fillId="7" borderId="259" xfId="0" applyFont="1" applyFill="1" applyBorder="1" applyAlignment="1">
      <alignment horizontal="center"/>
    </xf>
    <xf numFmtId="0" fontId="13" fillId="7" borderId="71" xfId="0" applyFont="1" applyFill="1" applyBorder="1" applyAlignment="1">
      <alignment horizontal="center"/>
    </xf>
    <xf numFmtId="0" fontId="0" fillId="0" borderId="21" xfId="0" applyBorder="1" applyAlignment="1">
      <alignment horizontal="left" vertical="center"/>
    </xf>
    <xf numFmtId="0" fontId="0" fillId="0" borderId="38" xfId="0" applyBorder="1" applyAlignment="1">
      <alignment horizontal="left"/>
    </xf>
    <xf numFmtId="0" fontId="0" fillId="8" borderId="127" xfId="0" applyFill="1" applyBorder="1" applyAlignment="1">
      <alignment horizontal="left"/>
    </xf>
    <xf numFmtId="0" fontId="0" fillId="8" borderId="31" xfId="0" applyFill="1" applyBorder="1" applyAlignment="1">
      <alignment horizontal="left"/>
    </xf>
    <xf numFmtId="0" fontId="0" fillId="8" borderId="144" xfId="0" applyFill="1" applyBorder="1" applyAlignment="1">
      <alignment horizontal="left" vertical="center"/>
    </xf>
    <xf numFmtId="0" fontId="0" fillId="8" borderId="60" xfId="0" applyFill="1" applyBorder="1" applyAlignment="1">
      <alignment horizontal="left" vertical="center"/>
    </xf>
    <xf numFmtId="0" fontId="13" fillId="7" borderId="0" xfId="0" applyFont="1" applyFill="1" applyAlignment="1">
      <alignment horizontal="center"/>
    </xf>
    <xf numFmtId="0" fontId="0" fillId="7" borderId="0" xfId="0" applyFill="1" applyAlignment="1">
      <alignment horizontal="center" vertical="center"/>
    </xf>
    <xf numFmtId="0" fontId="0" fillId="7" borderId="36" xfId="0" applyFill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50" xfId="0" applyFont="1" applyBorder="1" applyAlignment="1">
      <alignment horizontal="center" vertical="center"/>
    </xf>
    <xf numFmtId="0" fontId="33" fillId="0" borderId="174" xfId="0" applyFont="1" applyBorder="1" applyAlignment="1">
      <alignment horizontal="center" vertical="center"/>
    </xf>
    <xf numFmtId="0" fontId="33" fillId="0" borderId="257" xfId="0" applyFont="1" applyBorder="1" applyAlignment="1">
      <alignment horizontal="center" vertical="center"/>
    </xf>
    <xf numFmtId="0" fontId="33" fillId="0" borderId="43" xfId="0" applyFont="1" applyBorder="1" applyAlignment="1">
      <alignment horizontal="center" vertical="center"/>
    </xf>
    <xf numFmtId="0" fontId="33" fillId="0" borderId="41" xfId="0" applyFont="1" applyBorder="1" applyAlignment="1">
      <alignment horizontal="center" vertical="center"/>
    </xf>
    <xf numFmtId="0" fontId="33" fillId="0" borderId="42" xfId="0" applyFont="1" applyBorder="1" applyAlignment="1">
      <alignment horizontal="center"/>
    </xf>
    <xf numFmtId="10" fontId="0" fillId="0" borderId="39" xfId="0" applyNumberFormat="1" applyBorder="1" applyAlignment="1">
      <alignment horizontal="left" vertical="center"/>
    </xf>
    <xf numFmtId="10" fontId="0" fillId="0" borderId="48" xfId="0" applyNumberFormat="1" applyBorder="1" applyAlignment="1">
      <alignment horizontal="left" vertical="center"/>
    </xf>
    <xf numFmtId="10" fontId="0" fillId="0" borderId="42" xfId="0" applyNumberFormat="1" applyBorder="1" applyAlignment="1">
      <alignment horizontal="left" vertical="center"/>
    </xf>
    <xf numFmtId="10" fontId="13" fillId="7" borderId="33" xfId="0" applyNumberFormat="1" applyFont="1" applyFill="1" applyBorder="1" applyAlignment="1">
      <alignment horizontal="center" vertical="center"/>
    </xf>
    <xf numFmtId="10" fontId="13" fillId="7" borderId="62" xfId="0" applyNumberFormat="1" applyFont="1" applyFill="1" applyBorder="1" applyAlignment="1">
      <alignment horizontal="center" vertical="center"/>
    </xf>
    <xf numFmtId="10" fontId="13" fillId="7" borderId="63" xfId="0" applyNumberFormat="1" applyFont="1" applyFill="1" applyBorder="1" applyAlignment="1">
      <alignment horizontal="center" vertical="center"/>
    </xf>
    <xf numFmtId="0" fontId="6" fillId="0" borderId="39" xfId="0" applyFont="1" applyBorder="1" applyAlignment="1">
      <alignment horizontal="left" vertical="center"/>
    </xf>
    <xf numFmtId="0" fontId="6" fillId="0" borderId="42" xfId="0" applyFont="1" applyBorder="1" applyAlignment="1">
      <alignment horizontal="left" vertical="center"/>
    </xf>
    <xf numFmtId="10" fontId="0" fillId="0" borderId="55" xfId="0" applyNumberFormat="1" applyBorder="1" applyAlignment="1">
      <alignment horizontal="left" vertical="center"/>
    </xf>
    <xf numFmtId="0" fontId="13" fillId="7" borderId="0" xfId="0" applyFont="1" applyFill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39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8" borderId="126" xfId="0" applyFill="1" applyBorder="1" applyAlignment="1">
      <alignment horizontal="left"/>
    </xf>
    <xf numFmtId="0" fontId="0" fillId="8" borderId="30" xfId="0" applyFill="1" applyBorder="1" applyAlignment="1">
      <alignment horizontal="left"/>
    </xf>
    <xf numFmtId="0" fontId="0" fillId="0" borderId="25" xfId="0" applyBorder="1" applyAlignment="1">
      <alignment horizontal="left" vertical="center"/>
    </xf>
    <xf numFmtId="0" fontId="0" fillId="0" borderId="127" xfId="0" applyBorder="1" applyAlignment="1">
      <alignment horizontal="left" vertical="center"/>
    </xf>
    <xf numFmtId="0" fontId="0" fillId="0" borderId="31" xfId="0" applyBorder="1" applyAlignment="1">
      <alignment horizontal="left" vertical="center"/>
    </xf>
    <xf numFmtId="0" fontId="0" fillId="7" borderId="62" xfId="0" applyFill="1" applyBorder="1"/>
    <xf numFmtId="0" fontId="0" fillId="7" borderId="63" xfId="0" applyFill="1" applyBorder="1"/>
    <xf numFmtId="0" fontId="0" fillId="7" borderId="0" xfId="0" applyFill="1" applyAlignment="1">
      <alignment horizontal="left" vertical="center"/>
    </xf>
    <xf numFmtId="0" fontId="0" fillId="7" borderId="42" xfId="0" applyFill="1" applyBorder="1" applyAlignment="1">
      <alignment horizontal="left" vertical="center"/>
    </xf>
    <xf numFmtId="0" fontId="0" fillId="0" borderId="21" xfId="0" applyBorder="1"/>
    <xf numFmtId="0" fontId="0" fillId="7" borderId="42" xfId="0" applyFill="1" applyBorder="1" applyAlignment="1">
      <alignment horizontal="left"/>
    </xf>
    <xf numFmtId="0" fontId="6" fillId="0" borderId="38" xfId="0" applyFont="1" applyBorder="1" applyAlignment="1">
      <alignment horizontal="left" vertical="center"/>
    </xf>
    <xf numFmtId="0" fontId="0" fillId="8" borderId="38" xfId="0" applyFill="1" applyBorder="1" applyAlignment="1">
      <alignment horizontal="left"/>
    </xf>
    <xf numFmtId="0" fontId="0" fillId="8" borderId="25" xfId="0" applyFill="1" applyBorder="1" applyAlignment="1">
      <alignment horizontal="left"/>
    </xf>
    <xf numFmtId="0" fontId="0" fillId="8" borderId="128" xfId="0" applyFill="1" applyBorder="1" applyAlignment="1">
      <alignment horizontal="left" vertical="center"/>
    </xf>
    <xf numFmtId="0" fontId="0" fillId="8" borderId="129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13" fillId="0" borderId="41" xfId="0" applyFont="1" applyBorder="1" applyAlignment="1">
      <alignment horizontal="center"/>
    </xf>
    <xf numFmtId="0" fontId="13" fillId="0" borderId="34" xfId="0" applyFont="1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3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38" xfId="0" applyBorder="1" applyAlignment="1">
      <alignment horizontal="left" vertical="center"/>
    </xf>
    <xf numFmtId="0" fontId="0" fillId="0" borderId="239" xfId="0" applyBorder="1" applyAlignment="1">
      <alignment horizontal="left" vertical="center"/>
    </xf>
    <xf numFmtId="0" fontId="13" fillId="7" borderId="63" xfId="0" applyFont="1" applyFill="1" applyBorder="1" applyAlignment="1">
      <alignment horizontal="center"/>
    </xf>
    <xf numFmtId="0" fontId="6" fillId="0" borderId="64" xfId="0" applyFont="1" applyBorder="1" applyAlignment="1">
      <alignment horizontal="left" vertical="center"/>
    </xf>
    <xf numFmtId="0" fontId="6" fillId="0" borderId="65" xfId="0" applyFont="1" applyBorder="1" applyAlignment="1">
      <alignment horizontal="left" vertical="center"/>
    </xf>
    <xf numFmtId="0" fontId="6" fillId="0" borderId="25" xfId="0" applyFont="1" applyBorder="1" applyAlignment="1">
      <alignment horizontal="left" vertical="center"/>
    </xf>
    <xf numFmtId="0" fontId="9" fillId="7" borderId="33" xfId="0" applyFont="1" applyFill="1" applyBorder="1" applyAlignment="1">
      <alignment horizontal="center"/>
    </xf>
    <xf numFmtId="0" fontId="9" fillId="7" borderId="62" xfId="0" applyFont="1" applyFill="1" applyBorder="1" applyAlignment="1">
      <alignment horizontal="center"/>
    </xf>
    <xf numFmtId="0" fontId="9" fillId="7" borderId="63" xfId="0" applyFont="1" applyFill="1" applyBorder="1" applyAlignment="1">
      <alignment horizontal="center"/>
    </xf>
    <xf numFmtId="0" fontId="0" fillId="8" borderId="39" xfId="0" applyFill="1" applyBorder="1" applyAlignment="1">
      <alignment horizontal="left"/>
    </xf>
    <xf numFmtId="0" fontId="0" fillId="8" borderId="42" xfId="0" applyFill="1" applyBorder="1" applyAlignment="1">
      <alignment horizontal="left"/>
    </xf>
    <xf numFmtId="0" fontId="0" fillId="0" borderId="48" xfId="0" applyBorder="1" applyAlignment="1">
      <alignment horizontal="left" vertical="center"/>
    </xf>
    <xf numFmtId="0" fontId="0" fillId="8" borderId="26" xfId="0" applyFill="1" applyBorder="1" applyAlignment="1">
      <alignment horizontal="left"/>
    </xf>
    <xf numFmtId="10" fontId="6" fillId="0" borderId="38" xfId="0" applyNumberFormat="1" applyFont="1" applyBorder="1" applyAlignment="1">
      <alignment horizontal="left" vertical="center"/>
    </xf>
    <xf numFmtId="10" fontId="6" fillId="0" borderId="0" xfId="0" applyNumberFormat="1" applyFont="1" applyAlignment="1">
      <alignment horizontal="left" vertical="center"/>
    </xf>
    <xf numFmtId="0" fontId="6" fillId="0" borderId="38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13" fillId="7" borderId="46" xfId="0" applyFont="1" applyFill="1" applyBorder="1" applyAlignment="1">
      <alignment horizontal="center" vertical="center"/>
    </xf>
    <xf numFmtId="0" fontId="13" fillId="7" borderId="21" xfId="0" applyFont="1" applyFill="1" applyBorder="1" applyAlignment="1">
      <alignment horizontal="center" vertical="center"/>
    </xf>
    <xf numFmtId="0" fontId="13" fillId="7" borderId="45" xfId="0" applyFont="1" applyFill="1" applyBorder="1" applyAlignment="1">
      <alignment horizontal="center" vertical="center"/>
    </xf>
    <xf numFmtId="10" fontId="0" fillId="0" borderId="0" xfId="0" applyNumberFormat="1" applyAlignment="1">
      <alignment horizontal="left" vertical="center"/>
    </xf>
    <xf numFmtId="0" fontId="0" fillId="2" borderId="38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6" fillId="0" borderId="39" xfId="0" applyFont="1" applyBorder="1" applyAlignment="1">
      <alignment horizontal="left"/>
    </xf>
    <xf numFmtId="0" fontId="6" fillId="0" borderId="42" xfId="0" applyFont="1" applyBorder="1" applyAlignment="1">
      <alignment horizontal="left"/>
    </xf>
    <xf numFmtId="0" fontId="13" fillId="7" borderId="33" xfId="0" applyFont="1" applyFill="1" applyBorder="1" applyAlignment="1">
      <alignment horizontal="left" vertical="center"/>
    </xf>
    <xf numFmtId="0" fontId="13" fillId="7" borderId="62" xfId="0" applyFont="1" applyFill="1" applyBorder="1" applyAlignment="1">
      <alignment horizontal="left" vertical="center"/>
    </xf>
    <xf numFmtId="0" fontId="13" fillId="7" borderId="63" xfId="0" applyFont="1" applyFill="1" applyBorder="1" applyAlignment="1">
      <alignment horizontal="left" vertical="center"/>
    </xf>
    <xf numFmtId="0" fontId="0" fillId="7" borderId="0" xfId="0" applyFill="1" applyAlignment="1">
      <alignment horizontal="center"/>
    </xf>
    <xf numFmtId="10" fontId="6" fillId="0" borderId="39" xfId="0" applyNumberFormat="1" applyFont="1" applyBorder="1" applyAlignment="1">
      <alignment horizontal="left" vertical="center"/>
    </xf>
    <xf numFmtId="10" fontId="6" fillId="0" borderId="42" xfId="0" applyNumberFormat="1" applyFont="1" applyBorder="1" applyAlignment="1">
      <alignment horizontal="left" vertical="center"/>
    </xf>
    <xf numFmtId="0" fontId="34" fillId="0" borderId="42" xfId="0" applyFont="1" applyBorder="1" applyAlignment="1">
      <alignment horizontal="center"/>
    </xf>
    <xf numFmtId="0" fontId="34" fillId="0" borderId="0" xfId="0" applyFont="1" applyAlignment="1">
      <alignment horizontal="center"/>
    </xf>
    <xf numFmtId="0" fontId="0" fillId="0" borderId="65" xfId="0" applyBorder="1" applyAlignment="1">
      <alignment horizontal="left" vertical="center"/>
    </xf>
    <xf numFmtId="0" fontId="20" fillId="0" borderId="75" xfId="0" applyFont="1" applyBorder="1" applyAlignment="1">
      <alignment horizontal="center" vertical="center"/>
    </xf>
    <xf numFmtId="0" fontId="20" fillId="0" borderId="76" xfId="0" applyFont="1" applyBorder="1" applyAlignment="1">
      <alignment horizontal="center" vertical="center"/>
    </xf>
    <xf numFmtId="0" fontId="20" fillId="0" borderId="77" xfId="0" applyFont="1" applyBorder="1" applyAlignment="1">
      <alignment horizontal="center" vertical="center"/>
    </xf>
    <xf numFmtId="0" fontId="20" fillId="0" borderId="158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140" xfId="0" applyFont="1" applyBorder="1" applyAlignment="1">
      <alignment horizontal="center" vertical="center"/>
    </xf>
    <xf numFmtId="0" fontId="20" fillId="0" borderId="13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78" xfId="0" applyFont="1" applyBorder="1" applyAlignment="1">
      <alignment horizontal="center" vertical="center"/>
    </xf>
    <xf numFmtId="0" fontId="20" fillId="0" borderId="213" xfId="0" applyFont="1" applyBorder="1" applyAlignment="1">
      <alignment horizontal="center" vertical="center"/>
    </xf>
    <xf numFmtId="0" fontId="20" fillId="0" borderId="214" xfId="0" applyFont="1" applyBorder="1" applyAlignment="1">
      <alignment horizontal="center" vertical="center"/>
    </xf>
    <xf numFmtId="0" fontId="20" fillId="0" borderId="245" xfId="0" applyFont="1" applyBorder="1" applyAlignment="1">
      <alignment horizontal="center" vertical="center"/>
    </xf>
    <xf numFmtId="0" fontId="20" fillId="0" borderId="228" xfId="0" applyFont="1" applyBorder="1" applyAlignment="1">
      <alignment horizontal="center" vertical="center"/>
    </xf>
    <xf numFmtId="0" fontId="20" fillId="0" borderId="132" xfId="0" applyFont="1" applyBorder="1" applyAlignment="1">
      <alignment horizontal="center" vertical="center"/>
    </xf>
    <xf numFmtId="0" fontId="20" fillId="0" borderId="249" xfId="0" applyFont="1" applyBorder="1" applyAlignment="1">
      <alignment horizontal="center" vertical="center"/>
    </xf>
    <xf numFmtId="0" fontId="72" fillId="0" borderId="38" xfId="0" applyFont="1" applyBorder="1" applyAlignment="1">
      <alignment horizontal="center" vertical="center"/>
    </xf>
    <xf numFmtId="0" fontId="72" fillId="0" borderId="0" xfId="0" applyFont="1" applyAlignment="1">
      <alignment horizontal="center" vertical="center"/>
    </xf>
  </cellXfs>
  <cellStyles count="3">
    <cellStyle name="Обычный" xfId="0" builtinId="0"/>
    <cellStyle name="Процентный" xfId="2" builtinId="5"/>
    <cellStyle name="Пустой стиль" xfId="1" xr:uid="{00000000-0005-0000-0000-000002000000}"/>
  </cellStyles>
  <dxfs count="1209"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6" formatCode="0.0%"/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6" formatCode="0.0%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1C1C1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ill>
        <patternFill patternType="solid">
          <fgColor indexed="64"/>
          <bgColor rgb="FF1C1C1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>
        <top style="thin">
          <color theme="1"/>
        </top>
      </border>
    </dxf>
    <dxf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</border>
    </dxf>
    <dxf>
      <border>
        <bottom style="thin">
          <color theme="1"/>
        </bottom>
      </border>
    </dxf>
    <dxf>
      <font>
        <b val="0"/>
      </font>
      <fill>
        <patternFill patternType="solid">
          <fgColor indexed="64"/>
          <bgColor theme="0" tint="-0.249977111117893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ill>
        <patternFill patternType="solid">
          <fgColor indexed="64"/>
          <bgColor rgb="FF1C1C1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>
        <top style="thin">
          <color theme="1"/>
        </top>
      </border>
    </dxf>
    <dxf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</border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68" formatCode="&quot;&quot;"/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rgb="FF00B050"/>
      </font>
    </dxf>
    <dxf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</font>
    </dxf>
    <dxf>
      <font>
        <b/>
        <i val="0"/>
      </font>
    </dxf>
    <dxf>
      <numFmt numFmtId="168" formatCode="&quot;&quot;"/>
    </dxf>
    <dxf>
      <font>
        <b/>
        <i val="0"/>
      </font>
    </dxf>
    <dxf>
      <numFmt numFmtId="168" formatCode="&quot;&quot;"/>
    </dxf>
    <dxf>
      <font>
        <b/>
        <i val="0"/>
      </font>
    </dxf>
    <dxf>
      <font>
        <b/>
        <i val="0"/>
      </font>
    </dxf>
    <dxf>
      <numFmt numFmtId="168" formatCode="&quot;&quot;"/>
    </dxf>
    <dxf>
      <font>
        <b/>
        <i val="0"/>
      </font>
    </dxf>
    <dxf>
      <font>
        <b/>
        <i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fill>
        <patternFill patternType="solid"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>
        <top style="thin">
          <color theme="1"/>
        </top>
      </border>
    </dxf>
    <dxf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/>
        <top/>
        <bottom/>
        <vertical/>
        <horizontal/>
      </border>
    </dxf>
    <dxf>
      <numFmt numFmtId="3" formatCode="#,##0"/>
      <fill>
        <patternFill>
          <bgColor theme="0"/>
        </patternFill>
      </fill>
      <alignment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medium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medium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medium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horizontal style="thin">
          <color theme="1"/>
        </horizontal>
      </border>
    </dxf>
    <dxf>
      <border>
        <top style="thin">
          <color theme="1"/>
        </top>
      </border>
    </dxf>
    <dxf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>
        <top style="thin">
          <color theme="1"/>
        </top>
      </border>
    </dxf>
    <dxf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" formatCode="#,##0"/>
      <fill>
        <patternFill patternType="solid">
          <fgColor indexed="64"/>
          <bgColor theme="0"/>
        </patternFill>
      </fill>
      <alignment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numFmt numFmtId="3" formatCode="#,##0"/>
      <fill>
        <patternFill patternType="solid">
          <fgColor indexed="64"/>
          <bgColor theme="0"/>
        </patternFill>
      </fill>
      <alignment vertical="center" textRotation="0" wrapText="0" indent="0" justifyLastLine="0" shrinkToFit="0" readingOrder="0"/>
      <border diagonalUp="0" diagonalDown="0" outline="0">
        <left style="medium">
          <color theme="1"/>
        </left>
        <right style="medium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" formatCode="#,##0"/>
      <fill>
        <patternFill>
          <bgColor theme="0"/>
        </patternFill>
      </fill>
      <alignment vertical="center" textRotation="0" wrapText="0" indent="0" justifyLastLine="0" shrinkToFit="0" readingOrder="0"/>
      <border diagonalUp="0" diagonalDown="0">
        <left style="medium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/>
        <top/>
        <bottom/>
        <vertical/>
        <horizontal/>
      </border>
    </dxf>
    <dxf>
      <numFmt numFmtId="3" formatCode="#,##0"/>
      <fill>
        <patternFill>
          <bgColor theme="0"/>
        </patternFill>
      </fill>
      <alignment vertical="center" textRotation="0" wrapText="0" indent="0" justifyLastLine="0" shrinkToFit="0" readingOrder="0"/>
      <border diagonalUp="0" diagonalDown="0">
        <left style="medium">
          <color theme="1"/>
        </left>
        <right style="medium">
          <color theme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medium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numFmt numFmtId="3" formatCode="#,##0"/>
      <fill>
        <patternFill patternType="solid">
          <fgColor indexed="64"/>
          <bgColor theme="0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</border>
    </dxf>
    <dxf>
      <numFmt numFmtId="3" formatCode="#,##0"/>
      <fill>
        <patternFill patternType="solid">
          <fgColor indexed="64"/>
          <bgColor theme="0"/>
        </patternFill>
      </fill>
      <alignment vertical="center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/>
        <top/>
        <bottom/>
        <vertical/>
        <horizontal/>
      </border>
    </dxf>
    <dxf>
      <numFmt numFmtId="3" formatCode="#,##0"/>
      <fill>
        <patternFill>
          <bgColor theme="0"/>
        </patternFill>
      </fill>
      <alignment vertical="center" textRotation="0" wrapText="0" indent="0" justifyLastLine="0" shrinkToFit="0" readingOrder="0"/>
    </dxf>
    <dxf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</border>
    </dxf>
    <dxf>
      <numFmt numFmtId="3" formatCode="#,##0"/>
      <fill>
        <patternFill>
          <bgColor theme="0"/>
        </patternFill>
      </fill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1"/>
        </right>
        <top/>
        <bottom/>
        <vertical/>
        <horizontal/>
      </border>
    </dxf>
    <dxf>
      <numFmt numFmtId="13" formatCode="0%"/>
      <fill>
        <patternFill>
          <bgColor theme="0"/>
        </patternFill>
      </fill>
      <alignment vertical="center" textRotation="0" wrapText="0" indent="0" justifyLastLine="0" shrinkToFit="0" readingOrder="0"/>
      <border diagonalUp="0" diagonalDown="0">
        <left style="medium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3" formatCode="0%"/>
      <fill>
        <patternFill patternType="solid">
          <fgColor indexed="64"/>
          <bgColor theme="0"/>
        </patternFill>
      </fill>
      <alignment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numFmt numFmtId="13" formatCode="0%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" formatCode="#,##0"/>
      <fill>
        <patternFill>
          <bgColor theme="0"/>
        </patternFill>
      </fill>
      <alignment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>
          <bgColor theme="0"/>
        </patternFill>
      </fill>
      <alignment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>
          <bgColor theme="0"/>
        </patternFill>
      </fill>
      <alignment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>
          <bgColor theme="0"/>
        </patternFill>
      </fill>
      <alignment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3" formatCode="0%"/>
      <fill>
        <patternFill>
          <bgColor theme="0"/>
        </patternFill>
      </fill>
      <alignment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>
          <bgColor theme="0"/>
        </patternFill>
      </fill>
      <alignment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" formatCode="#,##0"/>
      <fill>
        <patternFill>
          <bgColor theme="0"/>
        </patternFill>
      </fill>
      <alignment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  <fill>
        <patternFill>
          <bgColor theme="0"/>
        </patternFill>
      </fill>
      <alignment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>
          <bgColor theme="0"/>
        </patternFill>
      </fill>
      <alignment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" formatCode="#,##0"/>
      <fill>
        <patternFill>
          <bgColor theme="0"/>
        </patternFill>
      </fill>
      <alignment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  <fill>
        <patternFill>
          <bgColor theme="0"/>
        </patternFill>
      </fill>
      <alignment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>
          <bgColor theme="0"/>
        </patternFill>
      </fill>
      <alignment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" formatCode="#,##0"/>
      <fill>
        <patternFill>
          <bgColor theme="0"/>
        </patternFill>
      </fill>
      <alignment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>
          <bgColor theme="0"/>
        </patternFill>
      </fill>
      <alignment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>
          <bgColor theme="0"/>
        </patternFill>
      </fill>
      <alignment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1"/>
        </right>
        <top/>
        <bottom/>
        <vertical/>
        <horizontal/>
      </border>
    </dxf>
    <dxf>
      <numFmt numFmtId="3" formatCode="#,##0"/>
      <fill>
        <patternFill patternType="solid">
          <fgColor indexed="64"/>
          <bgColor theme="0"/>
        </patternFill>
      </fill>
      <alignment vertical="center" textRotation="0" wrapText="0" indent="0" justifyLastLine="0" shrinkToFit="0" readingOrder="0"/>
      <border diagonalUp="0" diagonalDown="0">
        <left style="medium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1"/>
        </right>
        <top/>
        <bottom/>
        <vertical/>
        <horizontal/>
      </border>
    </dxf>
    <dxf>
      <numFmt numFmtId="3" formatCode="#,##0"/>
      <fill>
        <patternFill patternType="none">
          <bgColor theme="0"/>
        </patternFill>
      </fill>
      <alignment vertical="center" textRotation="0" wrapText="0" indent="0" justifyLastLine="0" shrinkToFit="0" readingOrder="0"/>
      <border diagonalUp="0" diagonalDown="0">
        <left style="medium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  <fill>
        <patternFill patternType="solid">
          <fgColor indexed="64"/>
          <bgColor theme="0"/>
        </patternFill>
      </fill>
      <alignment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0"/>
        </patternFill>
      </fill>
      <alignment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0"/>
        </patternFill>
      </fill>
      <alignment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0"/>
        </patternFill>
      </fill>
      <alignment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0"/>
        </patternFill>
      </fill>
      <alignment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0"/>
        </patternFill>
      </fill>
      <alignment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0"/>
        </patternFill>
      </fill>
      <alignment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0"/>
        </patternFill>
      </fill>
      <alignment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  <fill>
        <patternFill patternType="solid">
          <fgColor indexed="64"/>
          <bgColor theme="0"/>
        </patternFill>
      </fill>
      <alignment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" formatCode="#,##0"/>
      <fill>
        <patternFill patternType="none">
          <fgColor indexed="64"/>
          <bgColor theme="0"/>
        </patternFill>
      </fill>
      <alignment vertical="center" textRotation="0" wrapText="0" indent="0" justifyLastLine="0" shrinkToFit="0" readingOrder="0"/>
      <border diagonalUp="0" diagonalDown="0" outline="0">
        <right style="thin">
          <color theme="1"/>
        </right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theme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theme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theme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theme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theme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0"/>
        </patternFill>
      </fill>
      <alignment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  <fill>
        <patternFill patternType="none">
          <bgColor theme="0"/>
        </patternFill>
      </fill>
      <alignment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bgColor theme="0"/>
        </patternFill>
      </fill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  <fill>
        <patternFill patternType="solid">
          <fgColor indexed="64"/>
          <bgColor theme="0"/>
        </patternFill>
      </fill>
      <alignment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fill>
        <patternFill patternType="none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numFmt numFmtId="3" formatCode="#,##0"/>
      <fill>
        <patternFill patternType="solid">
          <fgColor indexed="64"/>
          <bgColor theme="0" tint="-0.14999847407452621"/>
        </patternFill>
      </fill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numFmt numFmtId="3" formatCode="#,##0"/>
      <fill>
        <patternFill patternType="solid">
          <fgColor indexed="64"/>
          <bgColor theme="0" tint="-0.14999847407452621"/>
        </patternFill>
      </fill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numFmt numFmtId="3" formatCode="#,##0"/>
      <fill>
        <patternFill patternType="solid">
          <fgColor indexed="64"/>
          <bgColor theme="0" tint="-0.1499984740745262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numFmt numFmtId="14" formatCode="0.00%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" formatCode="#,##0"/>
      <fill>
        <patternFill patternType="none">
          <fgColor indexed="64"/>
          <bgColor theme="0"/>
        </patternFill>
      </fill>
      <alignment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  <fill>
        <patternFill patternType="solid">
          <fgColor indexed="64"/>
          <bgColor theme="0"/>
        </patternFill>
      </fill>
      <alignment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" formatCode="#,##0"/>
      <fill>
        <patternFill patternType="solid">
          <fgColor indexed="64"/>
          <bgColor theme="0"/>
        </patternFill>
      </fill>
      <alignment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theme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medium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6" formatCode="0.0%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rgb="FF11111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rgb="FF11111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rgb="FF11111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rgb="FF11111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111111"/>
        </left>
        <right style="thin">
          <color rgb="FF111111"/>
        </right>
        <top style="thin">
          <color rgb="FF111111"/>
        </top>
        <bottom style="thin">
          <color rgb="FF11111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111111"/>
        </left>
        <right/>
        <top style="thin">
          <color rgb="FF111111"/>
        </top>
        <bottom style="thin">
          <color rgb="FF11111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11111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111111"/>
        </left>
        <right style="thin">
          <color rgb="FF111111"/>
        </right>
        <top style="thin">
          <color rgb="FF111111"/>
        </top>
        <bottom style="thin">
          <color rgb="FF11111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111111"/>
        </right>
        <top style="thin">
          <color rgb="FF111111"/>
        </top>
        <bottom style="thin">
          <color rgb="FF111111"/>
        </bottom>
        <vertical/>
        <horizontal/>
      </border>
    </dxf>
    <dxf>
      <border outline="0">
        <top style="thin">
          <color rgb="FF111111"/>
        </top>
      </border>
    </dxf>
    <dxf>
      <border outline="0">
        <left style="medium">
          <color rgb="FF111111"/>
        </left>
        <right style="medium">
          <color rgb="FF111111"/>
        </right>
        <top style="medium">
          <color rgb="FF111111"/>
        </top>
        <bottom style="medium">
          <color rgb="FF11111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11111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111111"/>
        </left>
        <right style="thin">
          <color rgb="FF111111"/>
        </right>
        <top/>
        <bottom/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theme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medium">
          <color theme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166" formatCode="0.0%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medium">
          <color theme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numFmt numFmtId="166" formatCode="0.0%"/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medium">
          <color theme="1"/>
        </left>
        <right style="thin">
          <color theme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theme="1"/>
        </left>
        <right style="medium">
          <color indexed="64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theme="1"/>
        </left>
        <right style="medium">
          <color indexed="64"/>
        </right>
        <top style="thin">
          <color theme="1"/>
        </top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12"/>
        <color rgb="FF0070C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12"/>
        <color rgb="FF00B05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12"/>
        <color rgb="FFFF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theme="1"/>
        </left>
        <right style="medium">
          <color indexed="64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theme="1"/>
        </left>
        <right style="medium">
          <color indexed="64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medium">
          <color indexed="64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relativeIndent="0" justifyLastLine="0" shrinkToFit="0" readingOrder="0"/>
    </dxf>
    <dxf>
      <border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numFmt numFmtId="0" formatCode="General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theme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166" formatCode="0.0%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theme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numFmt numFmtId="166" formatCode="0.0%"/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rgb="FF0070C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rgb="FF00B05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rgb="FFFF000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solid">
          <fgColor indexed="64"/>
          <bgColor rgb="FF1C1C1C"/>
        </patternFill>
      </fill>
      <alignment horizontal="center" vertical="center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relative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theme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166" formatCode="0.0%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medium">
          <color theme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theme="1"/>
        </right>
        <top style="thin">
          <color auto="1"/>
        </top>
        <bottom style="thin">
          <color auto="1"/>
        </bottom>
        <vertical style="thin">
          <color theme="1"/>
        </vertical>
        <horizontal style="thin">
          <color auto="1"/>
        </horizontal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166" formatCode="0.0%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numFmt numFmtId="166" formatCode="0.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theme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theme="1"/>
        </left>
        <right style="medium">
          <color indexed="64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theme="1"/>
        </left>
        <right style="medium">
          <color indexed="64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theme="1"/>
        </top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12"/>
        <color rgb="FF0070C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theme="1"/>
        </top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12"/>
        <color rgb="FF00B05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theme="1"/>
        </top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12"/>
        <color rgb="FFFF000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theme="1"/>
        </top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theme="1"/>
        </left>
        <right style="medium">
          <color indexed="64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theme="1"/>
        </left>
        <right style="medium">
          <color indexed="64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solid">
          <fgColor indexed="64"/>
          <bgColor rgb="FF1C1C1C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ill>
        <gradientFill type="path" left="0.5" right="0.5" top="0.5" bottom="0.5">
          <stop position="0">
            <color theme="1"/>
          </stop>
          <stop position="1">
            <color theme="0" tint="-5.0965910824915313E-2"/>
          </stop>
        </gradientFill>
      </fill>
    </dxf>
    <dxf>
      <fill>
        <gradientFill type="path" left="0.5" right="0.5" top="0.5" bottom="0.5">
          <stop position="0">
            <color theme="1"/>
          </stop>
          <stop position="1">
            <color rgb="FF0070C0"/>
          </stop>
        </gradientFill>
      </fill>
    </dxf>
    <dxf>
      <fill>
        <gradientFill type="path" left="0.5" right="0.5" top="0.5" bottom="0.5">
          <stop position="0">
            <color theme="1"/>
          </stop>
          <stop position="1">
            <color rgb="FF00B050"/>
          </stop>
        </gradientFill>
      </fill>
    </dxf>
    <dxf>
      <fill>
        <gradientFill type="path" left="0.5" right="0.5" top="0.5" bottom="0.5">
          <stop position="0">
            <color theme="1"/>
          </stop>
          <stop position="1">
            <color rgb="FFCC9900"/>
          </stop>
        </gradientFill>
      </fill>
    </dxf>
    <dxf>
      <fill>
        <gradientFill type="path" left="0.5" right="0.5" top="0.5" bottom="0.5">
          <stop position="0">
            <color theme="1"/>
          </stop>
          <stop position="1">
            <color rgb="FFC00000"/>
          </stop>
        </gradientFill>
      </fill>
    </dxf>
    <dxf>
      <fill>
        <gradientFill type="path" left="0.5" right="0.5" top="0.5" bottom="0.5">
          <stop position="0">
            <color rgb="FF1C1C1C"/>
          </stop>
          <stop position="1">
            <color rgb="FFCC9900"/>
          </stop>
        </gradientFill>
      </fill>
    </dxf>
    <dxf>
      <fill>
        <gradientFill type="path" left="0.5" right="0.5" top="0.5" bottom="0.5">
          <stop position="0">
            <color rgb="FF1C1C1C"/>
          </stop>
          <stop position="1">
            <color theme="0" tint="-0.1490218817712943"/>
          </stop>
        </gradientFill>
      </fill>
    </dxf>
    <dxf>
      <fill>
        <gradientFill type="path" left="0.5" right="0.5" top="0.5" bottom="0.5">
          <stop position="0">
            <color rgb="FF1C1C1C"/>
          </stop>
          <stop position="1">
            <color rgb="FF0070C0"/>
          </stop>
        </gradientFill>
      </fill>
    </dxf>
    <dxf>
      <fill>
        <gradientFill type="path" left="0.5" right="0.5" top="0.5" bottom="0.5">
          <stop position="0">
            <color rgb="FF1C1C1C"/>
          </stop>
          <stop position="1">
            <color rgb="FF00B050"/>
          </stop>
        </gradientFill>
      </fill>
    </dxf>
    <dxf>
      <fill>
        <gradientFill type="path" left="0.5" right="0.5" top="0.5" bottom="0.5">
          <stop position="0">
            <color rgb="FF1C1C1C"/>
          </stop>
          <stop position="1">
            <color rgb="FFC00000"/>
          </stop>
        </gradientFill>
      </fill>
    </dxf>
    <dxf>
      <fill>
        <gradientFill type="path" left="0.5" right="0.5" top="0.5" bottom="0.5">
          <stop position="0">
            <color rgb="FF1C1C1C"/>
          </stop>
          <stop position="1">
            <color theme="0" tint="-0.1490218817712943"/>
          </stop>
        </gradientFill>
      </fill>
    </dxf>
    <dxf>
      <fill>
        <gradientFill type="path" left="0.5" right="0.5" top="0.5" bottom="0.5">
          <stop position="0">
            <color rgb="FF1C1C1C"/>
          </stop>
          <stop position="1">
            <color rgb="FF0070C0"/>
          </stop>
        </gradientFill>
      </fill>
    </dxf>
    <dxf>
      <fill>
        <gradientFill type="path" left="0.5" right="0.5" top="0.5" bottom="0.5">
          <stop position="0">
            <color rgb="FF1C1C1C"/>
          </stop>
          <stop position="1">
            <color rgb="FF00B050"/>
          </stop>
        </gradientFill>
      </fill>
    </dxf>
    <dxf>
      <fill>
        <gradientFill type="path" left="0.5" right="0.5" top="0.5" bottom="0.5">
          <stop position="0">
            <color rgb="FF1C1C1C"/>
          </stop>
          <stop position="1">
            <color rgb="FFCC9900"/>
          </stop>
        </gradientFill>
      </fill>
    </dxf>
    <dxf>
      <fill>
        <gradientFill type="path" left="0.5" right="0.5" top="0.5" bottom="0.5">
          <stop position="0">
            <color rgb="FF1C1C1C"/>
          </stop>
          <stop position="1">
            <color rgb="FFC00000"/>
          </stop>
        </gradientFill>
      </fill>
    </dxf>
    <dxf>
      <fill>
        <gradientFill type="path" left="0.5" right="0.5" top="0.5" bottom="0.5">
          <stop position="0">
            <color rgb="FF1C1C1C"/>
          </stop>
          <stop position="1">
            <color theme="0" tint="-0.1490218817712943"/>
          </stop>
        </gradientFill>
      </fill>
    </dxf>
    <dxf>
      <fill>
        <gradientFill type="path" left="0.5" right="0.5" top="0.5" bottom="0.5">
          <stop position="0">
            <color rgb="FF1C1C1C"/>
          </stop>
          <stop position="1">
            <color rgb="FF0070C0"/>
          </stop>
        </gradientFill>
      </fill>
    </dxf>
    <dxf>
      <fill>
        <gradientFill type="path" left="0.5" right="0.5" top="0.5" bottom="0.5">
          <stop position="0">
            <color rgb="FF1C1C1C"/>
          </stop>
          <stop position="1">
            <color rgb="FF00B050"/>
          </stop>
        </gradientFill>
      </fill>
    </dxf>
    <dxf>
      <fill>
        <gradientFill type="path" left="0.5" right="0.5" top="0.5" bottom="0.5">
          <stop position="0">
            <color rgb="FF1C1C1C"/>
          </stop>
          <stop position="1">
            <color rgb="FFCC9900"/>
          </stop>
        </gradientFill>
      </fill>
    </dxf>
    <dxf>
      <fill>
        <gradientFill type="path" left="0.5" right="0.5" top="0.5" bottom="0.5">
          <stop position="0">
            <color rgb="FF1C1C1C"/>
          </stop>
          <stop position="1">
            <color rgb="FFC00000"/>
          </stop>
        </gradientFill>
      </fill>
    </dxf>
    <dxf>
      <numFmt numFmtId="168" formatCode="&quot;&quot;"/>
    </dxf>
    <dxf>
      <numFmt numFmtId="166" formatCode="0.0%"/>
    </dxf>
    <dxf>
      <numFmt numFmtId="0" formatCode="General"/>
    </dxf>
    <dxf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3" formatCode="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3" formatCode="0%"/>
      <alignment horizont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3" formatCode="0%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>
          <fgColor indexed="64"/>
          <bgColor theme="0" tint="-0.249977111117893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11111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11111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6" formatCode="0.0%"/>
      <fill>
        <patternFill patternType="none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medium">
          <color indexed="64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2" formatCode="0.00"/>
      <fill>
        <patternFill patternType="none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2" formatCode="0.00"/>
      <fill>
        <patternFill patternType="none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2" formatCode="0.00"/>
      <fill>
        <patternFill patternType="none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0.0"/>
      <fill>
        <patternFill patternType="none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0.0"/>
      <fill>
        <patternFill patternType="none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0.0"/>
      <fill>
        <patternFill patternType="none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0.0"/>
      <fill>
        <patternFill patternType="none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0.0"/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2" formatCode="0.00"/>
      <fill>
        <patternFill patternType="none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0.0"/>
      <fill>
        <patternFill patternType="none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0.0"/>
      <fill>
        <patternFill patternType="none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0.0"/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0.0"/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theme="0" tint="-0.14999847407452621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theme="0" tint="-0.14999847407452621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gradientFill type="path" left="0.5" right="0.5" top="0.5" bottom="0.5">
          <stop position="0">
            <color rgb="FF111111"/>
          </stop>
          <stop position="1">
            <color theme="0" tint="-0.1490218817712943"/>
          </stop>
        </gradientFill>
      </fill>
    </dxf>
    <dxf>
      <fill>
        <gradientFill type="path" left="0.5" right="0.5" top="0.5" bottom="0.5">
          <stop position="0">
            <color rgb="FF111111"/>
          </stop>
          <stop position="1">
            <color rgb="FF0070C0"/>
          </stop>
        </gradientFill>
      </fill>
    </dxf>
    <dxf>
      <fill>
        <gradientFill type="path" left="0.5" right="0.5" top="0.5" bottom="0.5">
          <stop position="0">
            <color rgb="FF111111"/>
          </stop>
          <stop position="1">
            <color rgb="FF00B050"/>
          </stop>
        </gradientFill>
      </fill>
    </dxf>
    <dxf>
      <fill>
        <gradientFill type="path" left="0.5" right="0.5" top="0.5" bottom="0.5">
          <stop position="0">
            <color rgb="FF111111"/>
          </stop>
          <stop position="1">
            <color rgb="FFFFC000"/>
          </stop>
        </gradientFill>
      </fill>
    </dxf>
    <dxf>
      <fill>
        <gradientFill type="path" left="0.5" right="0.5" top="0.5" bottom="0.5">
          <stop position="0">
            <color rgb="FF111111"/>
          </stop>
          <stop position="1">
            <color rgb="FFC00000"/>
          </stop>
        </gradientFill>
      </fill>
    </dxf>
    <dxf>
      <font>
        <b/>
        <i val="0"/>
        <color theme="9" tint="-0.24994659260841701"/>
      </font>
    </dxf>
    <dxf>
      <numFmt numFmtId="1" formatCode="0"/>
    </dxf>
    <dxf>
      <numFmt numFmtId="168" formatCode="&quot;&quot;"/>
    </dxf>
    <dxf>
      <numFmt numFmtId="168" formatCode="&quot;&quot;"/>
    </dxf>
    <dxf>
      <numFmt numFmtId="166" formatCode="0.0%"/>
    </dxf>
    <dxf>
      <font>
        <b/>
        <i val="0"/>
        <color theme="9" tint="-0.24994659260841701"/>
      </font>
      <numFmt numFmtId="1" formatCode="0"/>
    </dxf>
    <dxf>
      <font>
        <b/>
        <i val="0"/>
        <color theme="9" tint="-0.24994659260841701"/>
      </font>
      <numFmt numFmtId="166" formatCode="0.0%"/>
    </dxf>
    <dxf>
      <font>
        <b/>
        <i val="0"/>
        <color rgb="FF0070C0"/>
      </font>
    </dxf>
    <dxf>
      <font>
        <b val="0"/>
        <i val="0"/>
        <color rgb="FF6F7D64"/>
      </font>
      <numFmt numFmtId="166" formatCode="0.0%"/>
      <fill>
        <patternFill patternType="none">
          <bgColor auto="1"/>
        </patternFill>
      </fill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C00000"/>
      </font>
    </dxf>
    <dxf>
      <numFmt numFmtId="165" formatCode="0.0"/>
    </dxf>
    <dxf>
      <numFmt numFmtId="168" formatCode="&quot;&quot;"/>
    </dxf>
    <dxf>
      <font>
        <b/>
        <i val="0"/>
        <color rgb="FFC00000"/>
      </font>
    </dxf>
    <dxf>
      <font>
        <b/>
        <i val="0"/>
        <color rgb="FF00B050"/>
      </font>
    </dxf>
    <dxf>
      <numFmt numFmtId="168" formatCode="&quot;&quot;"/>
    </dxf>
    <dxf>
      <numFmt numFmtId="168" formatCode="&quot;&quot;"/>
    </dxf>
    <dxf>
      <font>
        <b/>
        <i val="0"/>
        <color theme="9" tint="-0.24994659260841701"/>
      </font>
    </dxf>
    <dxf>
      <numFmt numFmtId="168" formatCode="&quot;&quot;"/>
    </dxf>
    <dxf>
      <font>
        <b/>
        <i val="0"/>
        <color theme="9" tint="-0.24994659260841701"/>
      </font>
    </dxf>
    <dxf>
      <numFmt numFmtId="168" formatCode="&quot;&quot;"/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ont>
        <b/>
        <i val="0"/>
        <color rgb="FF9C0006"/>
      </font>
    </dxf>
    <dxf>
      <font>
        <b/>
        <i val="0"/>
        <color theme="9" tint="-0.24994659260841701"/>
      </font>
    </dxf>
    <dxf>
      <font>
        <b val="0"/>
        <i val="0"/>
        <color rgb="FFC00000"/>
      </font>
    </dxf>
    <dxf>
      <font>
        <b/>
        <i val="0"/>
        <u/>
        <color rgb="FFFF0000"/>
      </font>
    </dxf>
    <dxf>
      <font>
        <b/>
        <i val="0"/>
        <color rgb="FFFF0000"/>
      </font>
    </dxf>
    <dxf>
      <font>
        <b/>
        <i val="0"/>
        <u/>
        <color rgb="FFFF0000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 val="0"/>
        <i val="0"/>
        <color rgb="FFC00000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 val="0"/>
        <i val="0"/>
        <color rgb="FFC00000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 val="0"/>
        <i val="0"/>
        <color rgb="FFC00000"/>
      </font>
    </dxf>
    <dxf>
      <font>
        <b/>
        <i val="0"/>
        <color theme="9" tint="-0.24994659260841701"/>
      </font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numFmt numFmtId="168" formatCode="&quot;&quot;"/>
    </dxf>
    <dxf>
      <numFmt numFmtId="168" formatCode="&quot;&quot;"/>
    </dxf>
    <dxf>
      <numFmt numFmtId="168" formatCode="&quot;&quot;"/>
    </dxf>
    <dxf>
      <numFmt numFmtId="168" formatCode="&quot;&quot;"/>
    </dxf>
    <dxf>
      <numFmt numFmtId="168" formatCode="&quot;&quot;"/>
    </dxf>
    <dxf>
      <numFmt numFmtId="168" formatCode="&quot;&quot;"/>
    </dxf>
    <dxf>
      <numFmt numFmtId="168" formatCode="&quot;&quot;"/>
    </dxf>
    <dxf>
      <numFmt numFmtId="168" formatCode="&quot;&quot;"/>
    </dxf>
    <dxf>
      <numFmt numFmtId="168" formatCode="&quot;&quot;"/>
    </dxf>
    <dxf>
      <numFmt numFmtId="168" formatCode="&quot;&quot;"/>
    </dxf>
    <dxf>
      <numFmt numFmtId="168" formatCode="&quot;&quot;"/>
    </dxf>
    <dxf>
      <numFmt numFmtId="168" formatCode="&quot;&quot;"/>
    </dxf>
    <dxf>
      <numFmt numFmtId="168" formatCode="&quot;&quot;"/>
    </dxf>
    <dxf>
      <numFmt numFmtId="168" formatCode="&quot;&quot;"/>
    </dxf>
    <dxf>
      <numFmt numFmtId="168" formatCode="&quot;&quot;"/>
    </dxf>
    <dxf>
      <numFmt numFmtId="168" formatCode="&quot;&quot;"/>
    </dxf>
    <dxf>
      <numFmt numFmtId="168" formatCode="&quot;&quot;"/>
    </dxf>
    <dxf>
      <numFmt numFmtId="168" formatCode="&quot;&quot;"/>
    </dxf>
    <dxf>
      <numFmt numFmtId="168" formatCode="&quot;&quot;"/>
    </dxf>
    <dxf>
      <numFmt numFmtId="168" formatCode="&quot;&quot;"/>
    </dxf>
    <dxf>
      <numFmt numFmtId="168" formatCode="&quot;&quot;"/>
    </dxf>
    <dxf>
      <numFmt numFmtId="168" formatCode="&quot;&quot;"/>
    </dxf>
    <dxf>
      <numFmt numFmtId="168" formatCode="&quot;&quot;"/>
    </dxf>
    <dxf>
      <numFmt numFmtId="168" formatCode="&quot;&quot;"/>
    </dxf>
    <dxf>
      <numFmt numFmtId="168" formatCode="&quot;&quot;"/>
    </dxf>
    <dxf>
      <numFmt numFmtId="168" formatCode="&quot;&quot;"/>
    </dxf>
    <dxf>
      <numFmt numFmtId="168" formatCode="&quot;&quot;"/>
    </dxf>
    <dxf>
      <numFmt numFmtId="168" formatCode="&quot;&quot;"/>
    </dxf>
    <dxf>
      <numFmt numFmtId="168" formatCode="&quot;&quot;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border>
        <left style="thick">
          <color theme="1"/>
        </left>
        <right style="thick">
          <color theme="1"/>
        </right>
        <top style="thick">
          <color theme="1"/>
        </top>
        <bottom style="thick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9" defaultPivotStyle="PivotStyleLight16">
    <tableStyle name="Стиль таблицы 1" pivot="0" count="1" xr9:uid="{00000000-0011-0000-FFFF-FFFF00000000}">
      <tableStyleElement type="wholeTable" dxfId="1208"/>
    </tableStyle>
  </tableStyles>
  <colors>
    <mruColors>
      <color rgb="FF6F7D64"/>
      <color rgb="FF00FF00"/>
      <color rgb="FF1C1C1C"/>
      <color rgb="FFCC9900"/>
      <color rgb="FFCCCC00"/>
      <color rgb="FF111111"/>
      <color rgb="FFFF3300"/>
      <color rgb="FFFFFFCC"/>
      <color rgb="FFFFFF66"/>
      <color rgb="FF24382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A3" lockText="1" noThreeD="1"/>
</file>

<file path=xl/ctrlProps/ctrlProp2.xml><?xml version="1.0" encoding="utf-8"?>
<formControlPr xmlns="http://schemas.microsoft.com/office/spreadsheetml/2009/9/main" objectType="CheckBox" checked="Checked" fmlaLink="A4" lockText="1" noThreeD="1"/>
</file>

<file path=xl/ctrlProps/ctrlProp3.xml><?xml version="1.0" encoding="utf-8"?>
<formControlPr xmlns="http://schemas.microsoft.com/office/spreadsheetml/2009/9/main" objectType="CheckBox" checked="Checked" fmlaLink="A5" lockText="1" noThreeD="1"/>
</file>

<file path=xl/ctrlProps/ctrlProp4.xml><?xml version="1.0" encoding="utf-8"?>
<formControlPr xmlns="http://schemas.microsoft.com/office/spreadsheetml/2009/9/main" objectType="CheckBox" checked="Checked" fmlaLink="A6" lockText="1" noThreeD="1"/>
</file>

<file path=xl/ctrlProps/ctrlProp5.xml><?xml version="1.0" encoding="utf-8"?>
<formControlPr xmlns="http://schemas.microsoft.com/office/spreadsheetml/2009/9/main" objectType="CheckBox" checked="Checked" fmlaLink="A7" lockText="1" noThreeD="1"/>
</file>

<file path=xl/ctrlProps/ctrlProp6.xml><?xml version="1.0" encoding="utf-8"?>
<formControlPr xmlns="http://schemas.microsoft.com/office/spreadsheetml/2009/9/main" objectType="CheckBox" checked="Checked" fmlaLink="A8" lockText="1" noThreeD="1"/>
</file>

<file path=xl/ctrlProps/ctrlProp7.xml><?xml version="1.0" encoding="utf-8"?>
<formControlPr xmlns="http://schemas.microsoft.com/office/spreadsheetml/2009/9/main" objectType="CheckBox" checked="Checked" fmlaLink="A9" lockText="1" noThreeD="1"/>
</file>

<file path=xl/ctrlProps/ctrlProp8.xml><?xml version="1.0" encoding="utf-8"?>
<formControlPr xmlns="http://schemas.microsoft.com/office/spreadsheetml/2009/9/main" objectType="CheckBox" checked="Checked" fmlaLink="A10" lockText="1" noThreeD="1"/>
</file>

<file path=xl/ctrlProps/ctrlProp9.xml><?xml version="1.0" encoding="utf-8"?>
<formControlPr xmlns="http://schemas.microsoft.com/office/spreadsheetml/2009/9/main" objectType="CheckBox" checked="Checked" fmlaLink="A11" lockText="1" noThreeD="1"/>
</file>

<file path=xl/ctrlProps/ctrlProp10.xml><?xml version="1.0" encoding="utf-8"?>
<formControlPr xmlns="http://schemas.microsoft.com/office/spreadsheetml/2009/9/main" objectType="CheckBox" checked="Checked" fmlaLink="A12" lockText="1" noThreeD="1"/>
</file>

<file path=xl/ctrlProps/ctrlProp11.xml><?xml version="1.0" encoding="utf-8"?>
<formControlPr xmlns="http://schemas.microsoft.com/office/spreadsheetml/2009/9/main" objectType="CheckBox" checked="Checked" fmlaLink="A13" lockText="1" noThreeD="1"/>
</file>

<file path=xl/ctrlProps/ctrlProp12.xml><?xml version="1.0" encoding="utf-8"?>
<formControlPr xmlns="http://schemas.microsoft.com/office/spreadsheetml/2009/9/main" objectType="CheckBox" checked="Checked" fmlaLink="A14" lockText="1" noThreeD="1"/>
</file>

<file path=xl/ctrlProps/ctrlProp13.xml><?xml version="1.0" encoding="utf-8"?>
<formControlPr xmlns="http://schemas.microsoft.com/office/spreadsheetml/2009/9/main" objectType="CheckBox" checked="Checked" fmlaLink="A15" lockText="1" noThreeD="1"/>
</file>

<file path=xl/ctrlProps/ctrlProp14.xml><?xml version="1.0" encoding="utf-8"?>
<formControlPr xmlns="http://schemas.microsoft.com/office/spreadsheetml/2009/9/main" objectType="CheckBox" checked="Checked" fmlaLink="A16" lockText="1" noThreeD="1"/>
</file>

<file path=xl/ctrlProps/ctrlProp15.xml><?xml version="1.0" encoding="utf-8"?>
<formControlPr xmlns="http://schemas.microsoft.com/office/spreadsheetml/2009/9/main" objectType="CheckBox" checked="Checked" fmlaLink="A17" lockText="1" noThreeD="1"/>
</file>

<file path=xl/ctrlProps/ctrlProp16.xml><?xml version="1.0" encoding="utf-8"?>
<formControlPr xmlns="http://schemas.microsoft.com/office/spreadsheetml/2009/9/main" objectType="CheckBox" checked="Checked" fmlaLink="A18" lockText="1" noThreeD="1"/>
</file>

<file path=xl/ctrlProps/ctrlProp17.xml><?xml version="1.0" encoding="utf-8"?>
<formControlPr xmlns="http://schemas.microsoft.com/office/spreadsheetml/2009/9/main" objectType="CheckBox" checked="Checked" fmlaLink="A19" lockText="1" noThreeD="1"/>
</file>

<file path=xl/ctrlProps/ctrlProp18.xml><?xml version="1.0" encoding="utf-8"?>
<formControlPr xmlns="http://schemas.microsoft.com/office/spreadsheetml/2009/9/main" objectType="CheckBox" checked="Checked" fmlaLink="A20" lockText="1" noThreeD="1"/>
</file>

<file path=xl/ctrlProps/ctrlProp19.xml><?xml version="1.0" encoding="utf-8"?>
<formControlPr xmlns="http://schemas.microsoft.com/office/spreadsheetml/2009/9/main" objectType="CheckBox" checked="Checked" fmlaLink="A21" lockText="1" noThreeD="1"/>
</file>

<file path=xl/ctrlProps/ctrlProp20.xml><?xml version="1.0" encoding="utf-8"?>
<formControlPr xmlns="http://schemas.microsoft.com/office/spreadsheetml/2009/9/main" objectType="CheckBox" checked="Checked" fmlaLink="A22" lockText="1" noThreeD="1"/>
</file>

<file path=xl/ctrlProps/ctrlProp21.xml><?xml version="1.0" encoding="utf-8"?>
<formControlPr xmlns="http://schemas.microsoft.com/office/spreadsheetml/2009/9/main" objectType="CheckBox" checked="Checked" fmlaLink="A23" lockText="1" noThreeD="1"/>
</file>

<file path=xl/ctrlProps/ctrlProp22.xml><?xml version="1.0" encoding="utf-8"?>
<formControlPr xmlns="http://schemas.microsoft.com/office/spreadsheetml/2009/9/main" objectType="CheckBox" checked="Checked" fmlaLink="A24" lockText="1" noThreeD="1"/>
</file>

<file path=xl/ctrlProps/ctrlProp23.xml><?xml version="1.0" encoding="utf-8"?>
<formControlPr xmlns="http://schemas.microsoft.com/office/spreadsheetml/2009/9/main" objectType="CheckBox" fmlaLink="A25" lockText="1" noThreeD="1"/>
</file>

<file path=xl/ctrlProps/ctrlProp24.xml><?xml version="1.0" encoding="utf-8"?>
<formControlPr xmlns="http://schemas.microsoft.com/office/spreadsheetml/2009/9/main" objectType="CheckBox" checked="Checked" fmlaLink="E3" lockText="1" noThreeD="1"/>
</file>

<file path=xl/ctrlProps/ctrlProp25.xml><?xml version="1.0" encoding="utf-8"?>
<formControlPr xmlns="http://schemas.microsoft.com/office/spreadsheetml/2009/9/main" objectType="CheckBox" fmlaLink="E4" lockText="1" noThreeD="1"/>
</file>

<file path=xl/ctrlProps/ctrlProp26.xml><?xml version="1.0" encoding="utf-8"?>
<formControlPr xmlns="http://schemas.microsoft.com/office/spreadsheetml/2009/9/main" objectType="CheckBox" checked="Checked" fmlaLink="E5" lockText="1" noThreeD="1"/>
</file>

<file path=xl/ctrlProps/ctrlProp27.xml><?xml version="1.0" encoding="utf-8"?>
<formControlPr xmlns="http://schemas.microsoft.com/office/spreadsheetml/2009/9/main" objectType="CheckBox" checked="Checked" fmlaLink="E6" lockText="1" noThreeD="1"/>
</file>

<file path=xl/ctrlProps/ctrlProp28.xml><?xml version="1.0" encoding="utf-8"?>
<formControlPr xmlns="http://schemas.microsoft.com/office/spreadsheetml/2009/9/main" objectType="CheckBox" checked="Checked" fmlaLink="E7" lockText="1" noThreeD="1"/>
</file>

<file path=xl/ctrlProps/ctrlProp29.xml><?xml version="1.0" encoding="utf-8"?>
<formControlPr xmlns="http://schemas.microsoft.com/office/spreadsheetml/2009/9/main" objectType="CheckBox" checked="Checked" fmlaLink="E8" lockText="1" noThreeD="1"/>
</file>

<file path=xl/ctrlProps/ctrlProp30.xml><?xml version="1.0" encoding="utf-8"?>
<formControlPr xmlns="http://schemas.microsoft.com/office/spreadsheetml/2009/9/main" objectType="CheckBox" checked="Checked" fmlaLink="I8" lockText="1" noThreeD="1"/>
</file>

<file path=xl/ctrlProps/ctrlProp31.xml><?xml version="1.0" encoding="utf-8"?>
<formControlPr xmlns="http://schemas.microsoft.com/office/spreadsheetml/2009/9/main" objectType="CheckBox" checked="Checked" fmlaLink="I7" lockText="1" noThreeD="1"/>
</file>

<file path=xl/ctrlProps/ctrlProp32.xml><?xml version="1.0" encoding="utf-8"?>
<formControlPr xmlns="http://schemas.microsoft.com/office/spreadsheetml/2009/9/main" objectType="CheckBox" checked="Checked" fmlaLink="I6" lockText="1" noThreeD="1"/>
</file>

<file path=xl/ctrlProps/ctrlProp33.xml><?xml version="1.0" encoding="utf-8"?>
<formControlPr xmlns="http://schemas.microsoft.com/office/spreadsheetml/2009/9/main" objectType="CheckBox" checked="Checked" fmlaLink="I5" lockText="1" noThreeD="1"/>
</file>

<file path=xl/ctrlProps/ctrlProp34.xml><?xml version="1.0" encoding="utf-8"?>
<formControlPr xmlns="http://schemas.microsoft.com/office/spreadsheetml/2009/9/main" objectType="CheckBox" checked="Checked" fmlaLink="I4" lockText="1" noThreeD="1"/>
</file>

<file path=xl/ctrlProps/ctrlProp35.xml><?xml version="1.0" encoding="utf-8"?>
<formControlPr xmlns="http://schemas.microsoft.com/office/spreadsheetml/2009/9/main" objectType="CheckBox" checked="Checked" fmlaLink="I3" lockText="1" noThreeD="1"/>
</file>

<file path=xl/ctrlProps/ctrlProp36.xml><?xml version="1.0" encoding="utf-8"?>
<formControlPr xmlns="http://schemas.microsoft.com/office/spreadsheetml/2009/9/main" objectType="CheckBox" checked="Checked" fmlaLink="M3" lockText="1" noThreeD="1"/>
</file>

<file path=xl/ctrlProps/ctrlProp37.xml><?xml version="1.0" encoding="utf-8"?>
<formControlPr xmlns="http://schemas.microsoft.com/office/spreadsheetml/2009/9/main" objectType="CheckBox" checked="Checked" fmlaLink="M4" lockText="1" noThreeD="1"/>
</file>

<file path=xl/ctrlProps/ctrlProp38.xml><?xml version="1.0" encoding="utf-8"?>
<formControlPr xmlns="http://schemas.microsoft.com/office/spreadsheetml/2009/9/main" objectType="CheckBox" fmlaLink="M5" lockText="1" noThreeD="1"/>
</file>

<file path=xl/ctrlProps/ctrlProp39.xml><?xml version="1.0" encoding="utf-8"?>
<formControlPr xmlns="http://schemas.microsoft.com/office/spreadsheetml/2009/9/main" objectType="CheckBox" fmlaLink="M6" lockText="1" noThreeD="1"/>
</file>

<file path=xl/ctrlProps/ctrlProp40.xml><?xml version="1.0" encoding="utf-8"?>
<formControlPr xmlns="http://schemas.microsoft.com/office/spreadsheetml/2009/9/main" objectType="CheckBox" checked="Checked" fmlaLink="Q3" lockText="1" noThreeD="1"/>
</file>

<file path=xl/ctrlProps/ctrlProp41.xml><?xml version="1.0" encoding="utf-8"?>
<formControlPr xmlns="http://schemas.microsoft.com/office/spreadsheetml/2009/9/main" objectType="CheckBox" checked="Checked" fmlaLink="Q4" lockText="1" noThreeD="1"/>
</file>

<file path=xl/ctrlProps/ctrlProp42.xml><?xml version="1.0" encoding="utf-8"?>
<formControlPr xmlns="http://schemas.microsoft.com/office/spreadsheetml/2009/9/main" objectType="CheckBox" fmlaLink="Q5" lockText="1" noThreeD="1"/>
</file>

<file path=xl/ctrlProps/ctrlProp43.xml><?xml version="1.0" encoding="utf-8"?>
<formControlPr xmlns="http://schemas.microsoft.com/office/spreadsheetml/2009/9/main" objectType="CheckBox" checked="Checked" fmlaLink="U3" lockText="1" noThreeD="1"/>
</file>

<file path=xl/ctrlProps/ctrlProp44.xml><?xml version="1.0" encoding="utf-8"?>
<formControlPr xmlns="http://schemas.microsoft.com/office/spreadsheetml/2009/9/main" objectType="CheckBox" checked="Checked" fmlaLink="U4" lockText="1" noThreeD="1"/>
</file>

<file path=xl/ctrlProps/ctrlProp45.xml><?xml version="1.0" encoding="utf-8"?>
<formControlPr xmlns="http://schemas.microsoft.com/office/spreadsheetml/2009/9/main" objectType="CheckBox" checked="Checked" fmlaLink="Y3" lockText="1" noThreeD="1"/>
</file>

<file path=xl/ctrlProps/ctrlProp46.xml><?xml version="1.0" encoding="utf-8"?>
<formControlPr xmlns="http://schemas.microsoft.com/office/spreadsheetml/2009/9/main" objectType="CheckBox" fmlaLink="Y4" lockText="1" noThreeD="1"/>
</file>

<file path=xl/ctrlProps/ctrlProp47.xml><?xml version="1.0" encoding="utf-8"?>
<formControlPr xmlns="http://schemas.microsoft.com/office/spreadsheetml/2009/9/main" objectType="CheckBox" checked="Checked" fmlaLink="AC3" lockText="1" noThreeD="1"/>
</file>

<file path=xl/ctrlProps/ctrlProp48.xml><?xml version="1.0" encoding="utf-8"?>
<formControlPr xmlns="http://schemas.microsoft.com/office/spreadsheetml/2009/9/main" objectType="CheckBox" fmlaLink="AC4" lockText="1" noThreeD="1"/>
</file>

<file path=xl/ctrlProps/ctrlProp49.xml><?xml version="1.0" encoding="utf-8"?>
<formControlPr xmlns="http://schemas.microsoft.com/office/spreadsheetml/2009/9/main" objectType="CheckBox" checked="Checked" fmlaLink="AG3" lockText="1" noThreeD="1"/>
</file>

<file path=xl/ctrlProps/ctrlProp50.xml><?xml version="1.0" encoding="utf-8"?>
<formControlPr xmlns="http://schemas.microsoft.com/office/spreadsheetml/2009/9/main" objectType="CheckBox" fmlaLink="AG4" lockText="1" noThreeD="1"/>
</file>

<file path=xl/ctrlProps/ctrlProp51.xml><?xml version="1.0" encoding="utf-8"?>
<formControlPr xmlns="http://schemas.microsoft.com/office/spreadsheetml/2009/9/main" objectType="CheckBox" checked="Checked" fmlaLink="AK3" lockText="1" noThreeD="1"/>
</file>

<file path=xl/ctrlProps/ctrlProp52.xml><?xml version="1.0" encoding="utf-8"?>
<formControlPr xmlns="http://schemas.microsoft.com/office/spreadsheetml/2009/9/main" objectType="CheckBox" checked="Checked" fmlaLink="AO3" lockText="1" noThreeD="1"/>
</file>

<file path=xl/ctrlProps/ctrlProp53.xml><?xml version="1.0" encoding="utf-8"?>
<formControlPr xmlns="http://schemas.microsoft.com/office/spreadsheetml/2009/9/main" objectType="CheckBox" fmlaLink="AS3" lockText="1" noThreeD="1"/>
</file>

<file path=xl/ctrlProps/ctrlProp54.xml><?xml version="1.0" encoding="utf-8"?>
<formControlPr xmlns="http://schemas.microsoft.com/office/spreadsheetml/2009/9/main" objectType="CheckBox" checked="Checked" fmlaLink="AK4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checked="Checked" fmlaLink="AW4" lockText="1" noThreeD="1"/>
</file>

<file path=xl/ctrlProps/ctrlProp81.xml><?xml version="1.0" encoding="utf-8"?>
<formControlPr xmlns="http://schemas.microsoft.com/office/spreadsheetml/2009/9/main" objectType="CheckBox" checked="Checked" fmlaLink="AW5" lockText="1" noThreeD="1"/>
</file>

<file path=xl/ctrlProps/ctrlProp82.xml><?xml version="1.0" encoding="utf-8"?>
<formControlPr xmlns="http://schemas.microsoft.com/office/spreadsheetml/2009/9/main" objectType="CheckBox" checked="Checked" fmlaLink="AW6" lockText="1" noThreeD="1"/>
</file>

<file path=xl/ctrlProps/ctrlProp83.xml><?xml version="1.0" encoding="utf-8"?>
<formControlPr xmlns="http://schemas.microsoft.com/office/spreadsheetml/2009/9/main" objectType="CheckBox" checked="Checked" fmlaLink="AW7" lockText="1" noThreeD="1"/>
</file>

<file path=xl/ctrlProps/ctrlProp84.xml><?xml version="1.0" encoding="utf-8"?>
<formControlPr xmlns="http://schemas.microsoft.com/office/spreadsheetml/2009/9/main" objectType="CheckBox" checked="Checked" fmlaLink="AW8" lockText="1" noThreeD="1"/>
</file>

<file path=xl/ctrlProps/ctrlProp85.xml><?xml version="1.0" encoding="utf-8"?>
<formControlPr xmlns="http://schemas.microsoft.com/office/spreadsheetml/2009/9/main" objectType="CheckBox" checked="Checked" fmlaLink="AW9" lockText="1" noThreeD="1"/>
</file>

<file path=xl/ctrlProps/ctrlProp86.xml><?xml version="1.0" encoding="utf-8"?>
<formControlPr xmlns="http://schemas.microsoft.com/office/spreadsheetml/2009/9/main" objectType="CheckBox" checked="Checked" fmlaLink="AW10" lockText="1" noThreeD="1"/>
</file>

<file path=xl/ctrlProps/ctrlProp87.xml><?xml version="1.0" encoding="utf-8"?>
<formControlPr xmlns="http://schemas.microsoft.com/office/spreadsheetml/2009/9/main" objectType="CheckBox" checked="Checked" fmlaLink="AW11" lockText="1" noThreeD="1"/>
</file>

<file path=xl/ctrlProps/ctrlProp88.xml><?xml version="1.0" encoding="utf-8"?>
<formControlPr xmlns="http://schemas.microsoft.com/office/spreadsheetml/2009/9/main" objectType="CheckBox" checked="Checked" fmlaLink="AW12" lockText="1" noThreeD="1"/>
</file>

<file path=xl/ctrlProps/ctrlProp89.xml><?xml version="1.0" encoding="utf-8"?>
<formControlPr xmlns="http://schemas.microsoft.com/office/spreadsheetml/2009/9/main" objectType="CheckBox" checked="Checked" fmlaLink="AW13" lockText="1" noThreeD="1"/>
</file>

<file path=xl/ctrlProps/ctrlProp90.xml><?xml version="1.0" encoding="utf-8"?>
<formControlPr xmlns="http://schemas.microsoft.com/office/spreadsheetml/2009/9/main" objectType="CheckBox" checked="Checked" fmlaLink="AW14" lockText="1" noThreeD="1"/>
</file>

<file path=xl/ctrlProps/ctrlProp91.xml><?xml version="1.0" encoding="utf-8"?>
<formControlPr xmlns="http://schemas.microsoft.com/office/spreadsheetml/2009/9/main" objectType="CheckBox" checked="Checked" fmlaLink="AW15" lockText="1" noThreeD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CheckBox" checked="Checked" fmlaLink="AW3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image" Target="../media/image13.png"/><Relationship Id="rId17" Type="http://schemas.openxmlformats.org/officeDocument/2006/relationships/image" Target="../media/image18.emf"/><Relationship Id="rId2" Type="http://schemas.openxmlformats.org/officeDocument/2006/relationships/image" Target="../media/image3.png"/><Relationship Id="rId16" Type="http://schemas.openxmlformats.org/officeDocument/2006/relationships/image" Target="../media/image17.emf"/><Relationship Id="rId1" Type="http://schemas.openxmlformats.org/officeDocument/2006/relationships/image" Target="../media/image2.emf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emf"/><Relationship Id="rId14" Type="http://schemas.openxmlformats.org/officeDocument/2006/relationships/image" Target="../media/image15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52.png"/><Relationship Id="rId117" Type="http://schemas.openxmlformats.org/officeDocument/2006/relationships/image" Target="../media/image143.png"/><Relationship Id="rId21" Type="http://schemas.openxmlformats.org/officeDocument/2006/relationships/image" Target="../media/image47.png"/><Relationship Id="rId42" Type="http://schemas.openxmlformats.org/officeDocument/2006/relationships/image" Target="../media/image68.png"/><Relationship Id="rId47" Type="http://schemas.openxmlformats.org/officeDocument/2006/relationships/image" Target="../media/image73.png"/><Relationship Id="rId63" Type="http://schemas.openxmlformats.org/officeDocument/2006/relationships/image" Target="../media/image89.png"/><Relationship Id="rId68" Type="http://schemas.openxmlformats.org/officeDocument/2006/relationships/image" Target="../media/image94.png"/><Relationship Id="rId84" Type="http://schemas.openxmlformats.org/officeDocument/2006/relationships/image" Target="../media/image110.png"/><Relationship Id="rId89" Type="http://schemas.openxmlformats.org/officeDocument/2006/relationships/image" Target="../media/image115.png"/><Relationship Id="rId112" Type="http://schemas.openxmlformats.org/officeDocument/2006/relationships/image" Target="../media/image138.png"/><Relationship Id="rId16" Type="http://schemas.openxmlformats.org/officeDocument/2006/relationships/image" Target="../media/image42.png"/><Relationship Id="rId107" Type="http://schemas.openxmlformats.org/officeDocument/2006/relationships/image" Target="../media/image133.png"/><Relationship Id="rId11" Type="http://schemas.openxmlformats.org/officeDocument/2006/relationships/image" Target="../media/image37.png"/><Relationship Id="rId32" Type="http://schemas.openxmlformats.org/officeDocument/2006/relationships/image" Target="../media/image58.png"/><Relationship Id="rId37" Type="http://schemas.openxmlformats.org/officeDocument/2006/relationships/image" Target="../media/image63.png"/><Relationship Id="rId53" Type="http://schemas.openxmlformats.org/officeDocument/2006/relationships/image" Target="../media/image79.png"/><Relationship Id="rId58" Type="http://schemas.openxmlformats.org/officeDocument/2006/relationships/image" Target="../media/image84.png"/><Relationship Id="rId74" Type="http://schemas.openxmlformats.org/officeDocument/2006/relationships/image" Target="../media/image100.png"/><Relationship Id="rId79" Type="http://schemas.openxmlformats.org/officeDocument/2006/relationships/image" Target="../media/image105.png"/><Relationship Id="rId102" Type="http://schemas.openxmlformats.org/officeDocument/2006/relationships/image" Target="../media/image128.png"/><Relationship Id="rId123" Type="http://schemas.openxmlformats.org/officeDocument/2006/relationships/image" Target="../media/image149.png"/><Relationship Id="rId5" Type="http://schemas.openxmlformats.org/officeDocument/2006/relationships/image" Target="../media/image31.png"/><Relationship Id="rId90" Type="http://schemas.openxmlformats.org/officeDocument/2006/relationships/image" Target="../media/image116.png"/><Relationship Id="rId95" Type="http://schemas.openxmlformats.org/officeDocument/2006/relationships/image" Target="../media/image121.png"/><Relationship Id="rId22" Type="http://schemas.openxmlformats.org/officeDocument/2006/relationships/image" Target="../media/image48.png"/><Relationship Id="rId27" Type="http://schemas.openxmlformats.org/officeDocument/2006/relationships/image" Target="../media/image53.png"/><Relationship Id="rId43" Type="http://schemas.openxmlformats.org/officeDocument/2006/relationships/image" Target="../media/image69.png"/><Relationship Id="rId48" Type="http://schemas.openxmlformats.org/officeDocument/2006/relationships/image" Target="../media/image74.png"/><Relationship Id="rId64" Type="http://schemas.openxmlformats.org/officeDocument/2006/relationships/image" Target="../media/image90.png"/><Relationship Id="rId69" Type="http://schemas.openxmlformats.org/officeDocument/2006/relationships/image" Target="../media/image95.png"/><Relationship Id="rId113" Type="http://schemas.openxmlformats.org/officeDocument/2006/relationships/image" Target="../media/image139.png"/><Relationship Id="rId118" Type="http://schemas.openxmlformats.org/officeDocument/2006/relationships/image" Target="../media/image144.png"/><Relationship Id="rId80" Type="http://schemas.openxmlformats.org/officeDocument/2006/relationships/image" Target="../media/image106.png"/><Relationship Id="rId85" Type="http://schemas.openxmlformats.org/officeDocument/2006/relationships/image" Target="../media/image111.png"/><Relationship Id="rId12" Type="http://schemas.openxmlformats.org/officeDocument/2006/relationships/image" Target="../media/image38.png"/><Relationship Id="rId17" Type="http://schemas.openxmlformats.org/officeDocument/2006/relationships/image" Target="../media/image43.png"/><Relationship Id="rId33" Type="http://schemas.openxmlformats.org/officeDocument/2006/relationships/image" Target="../media/image59.png"/><Relationship Id="rId38" Type="http://schemas.openxmlformats.org/officeDocument/2006/relationships/image" Target="../media/image64.png"/><Relationship Id="rId59" Type="http://schemas.openxmlformats.org/officeDocument/2006/relationships/image" Target="../media/image85.png"/><Relationship Id="rId103" Type="http://schemas.openxmlformats.org/officeDocument/2006/relationships/image" Target="../media/image129.png"/><Relationship Id="rId108" Type="http://schemas.openxmlformats.org/officeDocument/2006/relationships/image" Target="../media/image134.png"/><Relationship Id="rId124" Type="http://schemas.openxmlformats.org/officeDocument/2006/relationships/image" Target="../media/image150.png"/><Relationship Id="rId54" Type="http://schemas.openxmlformats.org/officeDocument/2006/relationships/image" Target="../media/image80.png"/><Relationship Id="rId70" Type="http://schemas.openxmlformats.org/officeDocument/2006/relationships/image" Target="../media/image96.png"/><Relationship Id="rId75" Type="http://schemas.openxmlformats.org/officeDocument/2006/relationships/image" Target="../media/image101.png"/><Relationship Id="rId91" Type="http://schemas.openxmlformats.org/officeDocument/2006/relationships/image" Target="../media/image117.png"/><Relationship Id="rId96" Type="http://schemas.openxmlformats.org/officeDocument/2006/relationships/image" Target="../media/image122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23" Type="http://schemas.openxmlformats.org/officeDocument/2006/relationships/image" Target="../media/image49.png"/><Relationship Id="rId28" Type="http://schemas.openxmlformats.org/officeDocument/2006/relationships/image" Target="../media/image54.png"/><Relationship Id="rId49" Type="http://schemas.openxmlformats.org/officeDocument/2006/relationships/image" Target="../media/image75.png"/><Relationship Id="rId114" Type="http://schemas.openxmlformats.org/officeDocument/2006/relationships/image" Target="../media/image140.png"/><Relationship Id="rId119" Type="http://schemas.openxmlformats.org/officeDocument/2006/relationships/image" Target="../media/image145.png"/><Relationship Id="rId44" Type="http://schemas.openxmlformats.org/officeDocument/2006/relationships/image" Target="../media/image70.png"/><Relationship Id="rId60" Type="http://schemas.openxmlformats.org/officeDocument/2006/relationships/image" Target="../media/image86.png"/><Relationship Id="rId65" Type="http://schemas.openxmlformats.org/officeDocument/2006/relationships/image" Target="../media/image91.png"/><Relationship Id="rId81" Type="http://schemas.openxmlformats.org/officeDocument/2006/relationships/image" Target="../media/image107.png"/><Relationship Id="rId86" Type="http://schemas.openxmlformats.org/officeDocument/2006/relationships/image" Target="../media/image112.png"/><Relationship Id="rId13" Type="http://schemas.openxmlformats.org/officeDocument/2006/relationships/image" Target="../media/image39.png"/><Relationship Id="rId18" Type="http://schemas.openxmlformats.org/officeDocument/2006/relationships/image" Target="../media/image44.png"/><Relationship Id="rId39" Type="http://schemas.openxmlformats.org/officeDocument/2006/relationships/image" Target="../media/image65.png"/><Relationship Id="rId109" Type="http://schemas.openxmlformats.org/officeDocument/2006/relationships/image" Target="../media/image135.png"/><Relationship Id="rId34" Type="http://schemas.openxmlformats.org/officeDocument/2006/relationships/image" Target="../media/image60.png"/><Relationship Id="rId50" Type="http://schemas.openxmlformats.org/officeDocument/2006/relationships/image" Target="../media/image76.png"/><Relationship Id="rId55" Type="http://schemas.openxmlformats.org/officeDocument/2006/relationships/image" Target="../media/image81.png"/><Relationship Id="rId76" Type="http://schemas.openxmlformats.org/officeDocument/2006/relationships/image" Target="../media/image102.png"/><Relationship Id="rId97" Type="http://schemas.openxmlformats.org/officeDocument/2006/relationships/image" Target="../media/image123.png"/><Relationship Id="rId104" Type="http://schemas.openxmlformats.org/officeDocument/2006/relationships/image" Target="../media/image130.png"/><Relationship Id="rId120" Type="http://schemas.openxmlformats.org/officeDocument/2006/relationships/image" Target="../media/image146.png"/><Relationship Id="rId125" Type="http://schemas.openxmlformats.org/officeDocument/2006/relationships/image" Target="../media/image151.png"/><Relationship Id="rId7" Type="http://schemas.openxmlformats.org/officeDocument/2006/relationships/image" Target="../media/image33.png"/><Relationship Id="rId71" Type="http://schemas.openxmlformats.org/officeDocument/2006/relationships/image" Target="../media/image97.png"/><Relationship Id="rId92" Type="http://schemas.openxmlformats.org/officeDocument/2006/relationships/image" Target="../media/image118.png"/><Relationship Id="rId2" Type="http://schemas.openxmlformats.org/officeDocument/2006/relationships/image" Target="../media/image28.png"/><Relationship Id="rId29" Type="http://schemas.openxmlformats.org/officeDocument/2006/relationships/image" Target="../media/image55.png"/><Relationship Id="rId24" Type="http://schemas.openxmlformats.org/officeDocument/2006/relationships/image" Target="../media/image50.png"/><Relationship Id="rId40" Type="http://schemas.openxmlformats.org/officeDocument/2006/relationships/image" Target="../media/image66.png"/><Relationship Id="rId45" Type="http://schemas.openxmlformats.org/officeDocument/2006/relationships/image" Target="../media/image71.png"/><Relationship Id="rId66" Type="http://schemas.openxmlformats.org/officeDocument/2006/relationships/image" Target="../media/image92.png"/><Relationship Id="rId87" Type="http://schemas.openxmlformats.org/officeDocument/2006/relationships/image" Target="../media/image113.png"/><Relationship Id="rId110" Type="http://schemas.openxmlformats.org/officeDocument/2006/relationships/image" Target="../media/image136.png"/><Relationship Id="rId115" Type="http://schemas.openxmlformats.org/officeDocument/2006/relationships/image" Target="../media/image141.png"/><Relationship Id="rId61" Type="http://schemas.openxmlformats.org/officeDocument/2006/relationships/image" Target="../media/image87.png"/><Relationship Id="rId82" Type="http://schemas.openxmlformats.org/officeDocument/2006/relationships/image" Target="../media/image108.png"/><Relationship Id="rId19" Type="http://schemas.openxmlformats.org/officeDocument/2006/relationships/image" Target="../media/image45.png"/><Relationship Id="rId14" Type="http://schemas.openxmlformats.org/officeDocument/2006/relationships/image" Target="../media/image40.png"/><Relationship Id="rId30" Type="http://schemas.openxmlformats.org/officeDocument/2006/relationships/image" Target="../media/image56.png"/><Relationship Id="rId35" Type="http://schemas.openxmlformats.org/officeDocument/2006/relationships/image" Target="../media/image61.png"/><Relationship Id="rId56" Type="http://schemas.openxmlformats.org/officeDocument/2006/relationships/image" Target="../media/image82.png"/><Relationship Id="rId77" Type="http://schemas.openxmlformats.org/officeDocument/2006/relationships/image" Target="../media/image103.png"/><Relationship Id="rId100" Type="http://schemas.openxmlformats.org/officeDocument/2006/relationships/image" Target="../media/image126.png"/><Relationship Id="rId105" Type="http://schemas.openxmlformats.org/officeDocument/2006/relationships/image" Target="../media/image131.png"/><Relationship Id="rId126" Type="http://schemas.openxmlformats.org/officeDocument/2006/relationships/image" Target="../media/image152.png"/><Relationship Id="rId8" Type="http://schemas.openxmlformats.org/officeDocument/2006/relationships/image" Target="../media/image34.png"/><Relationship Id="rId51" Type="http://schemas.openxmlformats.org/officeDocument/2006/relationships/image" Target="../media/image77.png"/><Relationship Id="rId72" Type="http://schemas.openxmlformats.org/officeDocument/2006/relationships/image" Target="../media/image98.png"/><Relationship Id="rId93" Type="http://schemas.openxmlformats.org/officeDocument/2006/relationships/image" Target="../media/image119.png"/><Relationship Id="rId98" Type="http://schemas.openxmlformats.org/officeDocument/2006/relationships/image" Target="../media/image124.png"/><Relationship Id="rId121" Type="http://schemas.openxmlformats.org/officeDocument/2006/relationships/image" Target="../media/image147.png"/><Relationship Id="rId3" Type="http://schemas.openxmlformats.org/officeDocument/2006/relationships/image" Target="../media/image29.png"/><Relationship Id="rId25" Type="http://schemas.openxmlformats.org/officeDocument/2006/relationships/image" Target="../media/image51.png"/><Relationship Id="rId46" Type="http://schemas.openxmlformats.org/officeDocument/2006/relationships/image" Target="../media/image72.png"/><Relationship Id="rId67" Type="http://schemas.openxmlformats.org/officeDocument/2006/relationships/image" Target="../media/image93.png"/><Relationship Id="rId116" Type="http://schemas.openxmlformats.org/officeDocument/2006/relationships/image" Target="../media/image142.png"/><Relationship Id="rId20" Type="http://schemas.openxmlformats.org/officeDocument/2006/relationships/image" Target="../media/image46.png"/><Relationship Id="rId41" Type="http://schemas.openxmlformats.org/officeDocument/2006/relationships/image" Target="../media/image67.png"/><Relationship Id="rId62" Type="http://schemas.openxmlformats.org/officeDocument/2006/relationships/image" Target="../media/image88.png"/><Relationship Id="rId83" Type="http://schemas.openxmlformats.org/officeDocument/2006/relationships/image" Target="../media/image109.png"/><Relationship Id="rId88" Type="http://schemas.openxmlformats.org/officeDocument/2006/relationships/image" Target="../media/image114.png"/><Relationship Id="rId111" Type="http://schemas.openxmlformats.org/officeDocument/2006/relationships/image" Target="../media/image137.png"/><Relationship Id="rId15" Type="http://schemas.openxmlformats.org/officeDocument/2006/relationships/image" Target="../media/image41.png"/><Relationship Id="rId36" Type="http://schemas.openxmlformats.org/officeDocument/2006/relationships/image" Target="../media/image62.png"/><Relationship Id="rId57" Type="http://schemas.openxmlformats.org/officeDocument/2006/relationships/image" Target="../media/image83.png"/><Relationship Id="rId106" Type="http://schemas.openxmlformats.org/officeDocument/2006/relationships/image" Target="../media/image132.png"/><Relationship Id="rId10" Type="http://schemas.openxmlformats.org/officeDocument/2006/relationships/image" Target="../media/image36.png"/><Relationship Id="rId31" Type="http://schemas.openxmlformats.org/officeDocument/2006/relationships/image" Target="../media/image57.png"/><Relationship Id="rId52" Type="http://schemas.openxmlformats.org/officeDocument/2006/relationships/image" Target="../media/image78.png"/><Relationship Id="rId73" Type="http://schemas.openxmlformats.org/officeDocument/2006/relationships/image" Target="../media/image99.png"/><Relationship Id="rId78" Type="http://schemas.openxmlformats.org/officeDocument/2006/relationships/image" Target="../media/image104.png"/><Relationship Id="rId94" Type="http://schemas.openxmlformats.org/officeDocument/2006/relationships/image" Target="../media/image120.png"/><Relationship Id="rId99" Type="http://schemas.openxmlformats.org/officeDocument/2006/relationships/image" Target="../media/image125.png"/><Relationship Id="rId101" Type="http://schemas.openxmlformats.org/officeDocument/2006/relationships/image" Target="../media/image127.png"/><Relationship Id="rId122" Type="http://schemas.openxmlformats.org/officeDocument/2006/relationships/image" Target="../media/image148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79.png"/><Relationship Id="rId21" Type="http://schemas.openxmlformats.org/officeDocument/2006/relationships/image" Target="../media/image174.png"/><Relationship Id="rId34" Type="http://schemas.openxmlformats.org/officeDocument/2006/relationships/image" Target="../media/image187.png"/><Relationship Id="rId42" Type="http://schemas.openxmlformats.org/officeDocument/2006/relationships/image" Target="../media/image195.png"/><Relationship Id="rId47" Type="http://schemas.openxmlformats.org/officeDocument/2006/relationships/image" Target="../media/image200.png"/><Relationship Id="rId50" Type="http://schemas.openxmlformats.org/officeDocument/2006/relationships/image" Target="../media/image203.png"/><Relationship Id="rId55" Type="http://schemas.openxmlformats.org/officeDocument/2006/relationships/image" Target="../media/image208.png"/><Relationship Id="rId63" Type="http://schemas.openxmlformats.org/officeDocument/2006/relationships/image" Target="../media/image216.png"/><Relationship Id="rId7" Type="http://schemas.openxmlformats.org/officeDocument/2006/relationships/image" Target="../media/image160.png"/><Relationship Id="rId2" Type="http://schemas.openxmlformats.org/officeDocument/2006/relationships/image" Target="../media/image155.png"/><Relationship Id="rId16" Type="http://schemas.openxmlformats.org/officeDocument/2006/relationships/image" Target="../media/image169.png"/><Relationship Id="rId29" Type="http://schemas.openxmlformats.org/officeDocument/2006/relationships/image" Target="../media/image182.png"/><Relationship Id="rId11" Type="http://schemas.openxmlformats.org/officeDocument/2006/relationships/image" Target="../media/image164.png"/><Relationship Id="rId24" Type="http://schemas.openxmlformats.org/officeDocument/2006/relationships/image" Target="../media/image177.png"/><Relationship Id="rId32" Type="http://schemas.openxmlformats.org/officeDocument/2006/relationships/image" Target="../media/image185.png"/><Relationship Id="rId37" Type="http://schemas.openxmlformats.org/officeDocument/2006/relationships/image" Target="../media/image190.png"/><Relationship Id="rId40" Type="http://schemas.openxmlformats.org/officeDocument/2006/relationships/image" Target="../media/image193.png"/><Relationship Id="rId45" Type="http://schemas.openxmlformats.org/officeDocument/2006/relationships/image" Target="../media/image198.png"/><Relationship Id="rId53" Type="http://schemas.openxmlformats.org/officeDocument/2006/relationships/image" Target="../media/image206.png"/><Relationship Id="rId58" Type="http://schemas.openxmlformats.org/officeDocument/2006/relationships/image" Target="../media/image211.png"/><Relationship Id="rId66" Type="http://schemas.openxmlformats.org/officeDocument/2006/relationships/image" Target="../media/image219.png"/><Relationship Id="rId5" Type="http://schemas.openxmlformats.org/officeDocument/2006/relationships/image" Target="../media/image158.png"/><Relationship Id="rId61" Type="http://schemas.openxmlformats.org/officeDocument/2006/relationships/image" Target="../media/image214.png"/><Relationship Id="rId19" Type="http://schemas.openxmlformats.org/officeDocument/2006/relationships/image" Target="../media/image172.png"/><Relationship Id="rId14" Type="http://schemas.openxmlformats.org/officeDocument/2006/relationships/image" Target="../media/image167.png"/><Relationship Id="rId22" Type="http://schemas.openxmlformats.org/officeDocument/2006/relationships/image" Target="../media/image175.png"/><Relationship Id="rId27" Type="http://schemas.openxmlformats.org/officeDocument/2006/relationships/image" Target="../media/image180.png"/><Relationship Id="rId30" Type="http://schemas.openxmlformats.org/officeDocument/2006/relationships/image" Target="../media/image183.png"/><Relationship Id="rId35" Type="http://schemas.openxmlformats.org/officeDocument/2006/relationships/image" Target="../media/image188.png"/><Relationship Id="rId43" Type="http://schemas.openxmlformats.org/officeDocument/2006/relationships/image" Target="../media/image196.png"/><Relationship Id="rId48" Type="http://schemas.openxmlformats.org/officeDocument/2006/relationships/image" Target="../media/image201.png"/><Relationship Id="rId56" Type="http://schemas.openxmlformats.org/officeDocument/2006/relationships/image" Target="../media/image209.png"/><Relationship Id="rId64" Type="http://schemas.openxmlformats.org/officeDocument/2006/relationships/image" Target="../media/image217.png"/><Relationship Id="rId8" Type="http://schemas.openxmlformats.org/officeDocument/2006/relationships/image" Target="../media/image161.png"/><Relationship Id="rId51" Type="http://schemas.openxmlformats.org/officeDocument/2006/relationships/image" Target="../media/image204.png"/><Relationship Id="rId3" Type="http://schemas.openxmlformats.org/officeDocument/2006/relationships/image" Target="../media/image156.png"/><Relationship Id="rId12" Type="http://schemas.openxmlformats.org/officeDocument/2006/relationships/image" Target="../media/image165.png"/><Relationship Id="rId17" Type="http://schemas.openxmlformats.org/officeDocument/2006/relationships/image" Target="../media/image170.png"/><Relationship Id="rId25" Type="http://schemas.openxmlformats.org/officeDocument/2006/relationships/image" Target="../media/image178.png"/><Relationship Id="rId33" Type="http://schemas.openxmlformats.org/officeDocument/2006/relationships/image" Target="../media/image186.png"/><Relationship Id="rId38" Type="http://schemas.openxmlformats.org/officeDocument/2006/relationships/image" Target="../media/image191.png"/><Relationship Id="rId46" Type="http://schemas.openxmlformats.org/officeDocument/2006/relationships/image" Target="../media/image199.png"/><Relationship Id="rId59" Type="http://schemas.openxmlformats.org/officeDocument/2006/relationships/image" Target="../media/image212.png"/><Relationship Id="rId67" Type="http://schemas.openxmlformats.org/officeDocument/2006/relationships/image" Target="../media/image220.png"/><Relationship Id="rId20" Type="http://schemas.openxmlformats.org/officeDocument/2006/relationships/image" Target="../media/image173.png"/><Relationship Id="rId41" Type="http://schemas.openxmlformats.org/officeDocument/2006/relationships/image" Target="../media/image194.png"/><Relationship Id="rId54" Type="http://schemas.openxmlformats.org/officeDocument/2006/relationships/image" Target="../media/image207.png"/><Relationship Id="rId62" Type="http://schemas.openxmlformats.org/officeDocument/2006/relationships/image" Target="../media/image215.png"/><Relationship Id="rId1" Type="http://schemas.openxmlformats.org/officeDocument/2006/relationships/image" Target="../media/image154.png"/><Relationship Id="rId6" Type="http://schemas.openxmlformats.org/officeDocument/2006/relationships/image" Target="../media/image159.png"/><Relationship Id="rId15" Type="http://schemas.openxmlformats.org/officeDocument/2006/relationships/image" Target="../media/image168.png"/><Relationship Id="rId23" Type="http://schemas.openxmlformats.org/officeDocument/2006/relationships/image" Target="../media/image176.png"/><Relationship Id="rId28" Type="http://schemas.openxmlformats.org/officeDocument/2006/relationships/image" Target="../media/image181.png"/><Relationship Id="rId36" Type="http://schemas.openxmlformats.org/officeDocument/2006/relationships/image" Target="../media/image189.png"/><Relationship Id="rId49" Type="http://schemas.openxmlformats.org/officeDocument/2006/relationships/image" Target="../media/image202.png"/><Relationship Id="rId57" Type="http://schemas.openxmlformats.org/officeDocument/2006/relationships/image" Target="../media/image210.png"/><Relationship Id="rId10" Type="http://schemas.openxmlformats.org/officeDocument/2006/relationships/image" Target="../media/image163.png"/><Relationship Id="rId31" Type="http://schemas.openxmlformats.org/officeDocument/2006/relationships/image" Target="../media/image184.png"/><Relationship Id="rId44" Type="http://schemas.openxmlformats.org/officeDocument/2006/relationships/image" Target="../media/image197.png"/><Relationship Id="rId52" Type="http://schemas.openxmlformats.org/officeDocument/2006/relationships/image" Target="../media/image205.png"/><Relationship Id="rId60" Type="http://schemas.openxmlformats.org/officeDocument/2006/relationships/image" Target="../media/image213.png"/><Relationship Id="rId65" Type="http://schemas.openxmlformats.org/officeDocument/2006/relationships/image" Target="../media/image218.png"/><Relationship Id="rId4" Type="http://schemas.openxmlformats.org/officeDocument/2006/relationships/image" Target="../media/image157.png"/><Relationship Id="rId9" Type="http://schemas.openxmlformats.org/officeDocument/2006/relationships/image" Target="../media/image162.png"/><Relationship Id="rId13" Type="http://schemas.openxmlformats.org/officeDocument/2006/relationships/image" Target="../media/image166.png"/><Relationship Id="rId18" Type="http://schemas.openxmlformats.org/officeDocument/2006/relationships/image" Target="../media/image171.png"/><Relationship Id="rId39" Type="http://schemas.openxmlformats.org/officeDocument/2006/relationships/image" Target="../media/image19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1.emf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48.png"/><Relationship Id="rId21" Type="http://schemas.openxmlformats.org/officeDocument/2006/relationships/image" Target="../media/image243.png"/><Relationship Id="rId42" Type="http://schemas.openxmlformats.org/officeDocument/2006/relationships/image" Target="../media/image264.png"/><Relationship Id="rId47" Type="http://schemas.openxmlformats.org/officeDocument/2006/relationships/image" Target="../media/image269.png"/><Relationship Id="rId63" Type="http://schemas.openxmlformats.org/officeDocument/2006/relationships/image" Target="../media/image285.png"/><Relationship Id="rId68" Type="http://schemas.openxmlformats.org/officeDocument/2006/relationships/image" Target="../media/image290.png"/><Relationship Id="rId16" Type="http://schemas.openxmlformats.org/officeDocument/2006/relationships/image" Target="../media/image238.png"/><Relationship Id="rId11" Type="http://schemas.openxmlformats.org/officeDocument/2006/relationships/image" Target="../media/image233.png"/><Relationship Id="rId32" Type="http://schemas.openxmlformats.org/officeDocument/2006/relationships/image" Target="../media/image254.png"/><Relationship Id="rId37" Type="http://schemas.openxmlformats.org/officeDocument/2006/relationships/image" Target="../media/image259.png"/><Relationship Id="rId53" Type="http://schemas.openxmlformats.org/officeDocument/2006/relationships/image" Target="../media/image275.png"/><Relationship Id="rId58" Type="http://schemas.openxmlformats.org/officeDocument/2006/relationships/image" Target="../media/image280.png"/><Relationship Id="rId74" Type="http://schemas.openxmlformats.org/officeDocument/2006/relationships/image" Target="../media/image296.png"/><Relationship Id="rId79" Type="http://schemas.openxmlformats.org/officeDocument/2006/relationships/image" Target="../media/image301.png"/><Relationship Id="rId5" Type="http://schemas.openxmlformats.org/officeDocument/2006/relationships/image" Target="../media/image227.png"/><Relationship Id="rId61" Type="http://schemas.openxmlformats.org/officeDocument/2006/relationships/image" Target="../media/image283.png"/><Relationship Id="rId82" Type="http://schemas.openxmlformats.org/officeDocument/2006/relationships/image" Target="../media/image304.png"/><Relationship Id="rId19" Type="http://schemas.openxmlformats.org/officeDocument/2006/relationships/image" Target="../media/image241.png"/><Relationship Id="rId14" Type="http://schemas.openxmlformats.org/officeDocument/2006/relationships/image" Target="../media/image236.png"/><Relationship Id="rId22" Type="http://schemas.openxmlformats.org/officeDocument/2006/relationships/image" Target="../media/image244.png"/><Relationship Id="rId27" Type="http://schemas.openxmlformats.org/officeDocument/2006/relationships/image" Target="../media/image249.png"/><Relationship Id="rId30" Type="http://schemas.openxmlformats.org/officeDocument/2006/relationships/image" Target="../media/image252.png"/><Relationship Id="rId35" Type="http://schemas.openxmlformats.org/officeDocument/2006/relationships/image" Target="../media/image257.png"/><Relationship Id="rId43" Type="http://schemas.openxmlformats.org/officeDocument/2006/relationships/image" Target="../media/image265.png"/><Relationship Id="rId48" Type="http://schemas.openxmlformats.org/officeDocument/2006/relationships/image" Target="../media/image270.png"/><Relationship Id="rId56" Type="http://schemas.openxmlformats.org/officeDocument/2006/relationships/image" Target="../media/image278.png"/><Relationship Id="rId64" Type="http://schemas.openxmlformats.org/officeDocument/2006/relationships/image" Target="../media/image286.png"/><Relationship Id="rId69" Type="http://schemas.openxmlformats.org/officeDocument/2006/relationships/image" Target="../media/image291.png"/><Relationship Id="rId77" Type="http://schemas.openxmlformats.org/officeDocument/2006/relationships/image" Target="../media/image299.png"/><Relationship Id="rId8" Type="http://schemas.openxmlformats.org/officeDocument/2006/relationships/image" Target="../media/image230.png"/><Relationship Id="rId51" Type="http://schemas.openxmlformats.org/officeDocument/2006/relationships/image" Target="../media/image273.png"/><Relationship Id="rId72" Type="http://schemas.openxmlformats.org/officeDocument/2006/relationships/image" Target="../media/image294.png"/><Relationship Id="rId80" Type="http://schemas.openxmlformats.org/officeDocument/2006/relationships/image" Target="../media/image302.png"/><Relationship Id="rId3" Type="http://schemas.openxmlformats.org/officeDocument/2006/relationships/image" Target="../media/image225.png"/><Relationship Id="rId12" Type="http://schemas.openxmlformats.org/officeDocument/2006/relationships/image" Target="../media/image234.png"/><Relationship Id="rId17" Type="http://schemas.openxmlformats.org/officeDocument/2006/relationships/image" Target="../media/image239.png"/><Relationship Id="rId25" Type="http://schemas.openxmlformats.org/officeDocument/2006/relationships/image" Target="../media/image247.png"/><Relationship Id="rId33" Type="http://schemas.openxmlformats.org/officeDocument/2006/relationships/image" Target="../media/image255.png"/><Relationship Id="rId38" Type="http://schemas.openxmlformats.org/officeDocument/2006/relationships/image" Target="../media/image260.png"/><Relationship Id="rId46" Type="http://schemas.openxmlformats.org/officeDocument/2006/relationships/image" Target="../media/image268.png"/><Relationship Id="rId59" Type="http://schemas.openxmlformats.org/officeDocument/2006/relationships/image" Target="../media/image281.png"/><Relationship Id="rId67" Type="http://schemas.openxmlformats.org/officeDocument/2006/relationships/image" Target="../media/image289.png"/><Relationship Id="rId20" Type="http://schemas.openxmlformats.org/officeDocument/2006/relationships/image" Target="../media/image242.png"/><Relationship Id="rId41" Type="http://schemas.openxmlformats.org/officeDocument/2006/relationships/image" Target="../media/image263.png"/><Relationship Id="rId54" Type="http://schemas.openxmlformats.org/officeDocument/2006/relationships/image" Target="../media/image276.png"/><Relationship Id="rId62" Type="http://schemas.openxmlformats.org/officeDocument/2006/relationships/image" Target="../media/image284.png"/><Relationship Id="rId70" Type="http://schemas.openxmlformats.org/officeDocument/2006/relationships/image" Target="../media/image292.png"/><Relationship Id="rId75" Type="http://schemas.openxmlformats.org/officeDocument/2006/relationships/image" Target="../media/image297.png"/><Relationship Id="rId1" Type="http://schemas.openxmlformats.org/officeDocument/2006/relationships/image" Target="../media/image223.png"/><Relationship Id="rId6" Type="http://schemas.openxmlformats.org/officeDocument/2006/relationships/image" Target="../media/image228.png"/><Relationship Id="rId15" Type="http://schemas.openxmlformats.org/officeDocument/2006/relationships/image" Target="../media/image237.png"/><Relationship Id="rId23" Type="http://schemas.openxmlformats.org/officeDocument/2006/relationships/image" Target="../media/image245.png"/><Relationship Id="rId28" Type="http://schemas.openxmlformats.org/officeDocument/2006/relationships/image" Target="../media/image250.png"/><Relationship Id="rId36" Type="http://schemas.openxmlformats.org/officeDocument/2006/relationships/image" Target="../media/image258.png"/><Relationship Id="rId49" Type="http://schemas.openxmlformats.org/officeDocument/2006/relationships/image" Target="../media/image271.png"/><Relationship Id="rId57" Type="http://schemas.openxmlformats.org/officeDocument/2006/relationships/image" Target="../media/image279.png"/><Relationship Id="rId10" Type="http://schemas.openxmlformats.org/officeDocument/2006/relationships/image" Target="../media/image232.png"/><Relationship Id="rId31" Type="http://schemas.openxmlformats.org/officeDocument/2006/relationships/image" Target="../media/image253.png"/><Relationship Id="rId44" Type="http://schemas.openxmlformats.org/officeDocument/2006/relationships/image" Target="../media/image266.png"/><Relationship Id="rId52" Type="http://schemas.openxmlformats.org/officeDocument/2006/relationships/image" Target="../media/image274.png"/><Relationship Id="rId60" Type="http://schemas.openxmlformats.org/officeDocument/2006/relationships/image" Target="../media/image282.png"/><Relationship Id="rId65" Type="http://schemas.openxmlformats.org/officeDocument/2006/relationships/image" Target="../media/image287.png"/><Relationship Id="rId73" Type="http://schemas.openxmlformats.org/officeDocument/2006/relationships/image" Target="../media/image295.png"/><Relationship Id="rId78" Type="http://schemas.openxmlformats.org/officeDocument/2006/relationships/image" Target="../media/image300.png"/><Relationship Id="rId81" Type="http://schemas.openxmlformats.org/officeDocument/2006/relationships/image" Target="../media/image303.png"/><Relationship Id="rId4" Type="http://schemas.openxmlformats.org/officeDocument/2006/relationships/image" Target="../media/image226.png"/><Relationship Id="rId9" Type="http://schemas.openxmlformats.org/officeDocument/2006/relationships/image" Target="../media/image231.png"/><Relationship Id="rId13" Type="http://schemas.openxmlformats.org/officeDocument/2006/relationships/image" Target="../media/image235.png"/><Relationship Id="rId18" Type="http://schemas.openxmlformats.org/officeDocument/2006/relationships/image" Target="../media/image240.png"/><Relationship Id="rId39" Type="http://schemas.openxmlformats.org/officeDocument/2006/relationships/image" Target="../media/image261.png"/><Relationship Id="rId34" Type="http://schemas.openxmlformats.org/officeDocument/2006/relationships/image" Target="../media/image256.png"/><Relationship Id="rId50" Type="http://schemas.openxmlformats.org/officeDocument/2006/relationships/image" Target="../media/image272.png"/><Relationship Id="rId55" Type="http://schemas.openxmlformats.org/officeDocument/2006/relationships/image" Target="../media/image277.png"/><Relationship Id="rId76" Type="http://schemas.openxmlformats.org/officeDocument/2006/relationships/image" Target="../media/image298.png"/><Relationship Id="rId7" Type="http://schemas.openxmlformats.org/officeDocument/2006/relationships/image" Target="../media/image229.png"/><Relationship Id="rId71" Type="http://schemas.openxmlformats.org/officeDocument/2006/relationships/image" Target="../media/image293.png"/><Relationship Id="rId2" Type="http://schemas.openxmlformats.org/officeDocument/2006/relationships/image" Target="../media/image224.png"/><Relationship Id="rId29" Type="http://schemas.openxmlformats.org/officeDocument/2006/relationships/image" Target="../media/image251.png"/><Relationship Id="rId24" Type="http://schemas.openxmlformats.org/officeDocument/2006/relationships/image" Target="../media/image246.png"/><Relationship Id="rId40" Type="http://schemas.openxmlformats.org/officeDocument/2006/relationships/image" Target="../media/image262.png"/><Relationship Id="rId45" Type="http://schemas.openxmlformats.org/officeDocument/2006/relationships/image" Target="../media/image267.png"/><Relationship Id="rId66" Type="http://schemas.openxmlformats.org/officeDocument/2006/relationships/image" Target="../media/image288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2.png"/><Relationship Id="rId13" Type="http://schemas.openxmlformats.org/officeDocument/2006/relationships/image" Target="../media/image317.png"/><Relationship Id="rId18" Type="http://schemas.openxmlformats.org/officeDocument/2006/relationships/image" Target="../media/image322.png"/><Relationship Id="rId26" Type="http://schemas.openxmlformats.org/officeDocument/2006/relationships/image" Target="../media/image330.png"/><Relationship Id="rId3" Type="http://schemas.openxmlformats.org/officeDocument/2006/relationships/image" Target="../media/image307.png"/><Relationship Id="rId21" Type="http://schemas.openxmlformats.org/officeDocument/2006/relationships/image" Target="../media/image325.png"/><Relationship Id="rId7" Type="http://schemas.openxmlformats.org/officeDocument/2006/relationships/image" Target="../media/image311.png"/><Relationship Id="rId12" Type="http://schemas.openxmlformats.org/officeDocument/2006/relationships/image" Target="../media/image316.png"/><Relationship Id="rId17" Type="http://schemas.openxmlformats.org/officeDocument/2006/relationships/image" Target="../media/image321.png"/><Relationship Id="rId25" Type="http://schemas.openxmlformats.org/officeDocument/2006/relationships/image" Target="../media/image329.png"/><Relationship Id="rId2" Type="http://schemas.openxmlformats.org/officeDocument/2006/relationships/image" Target="../media/image306.png"/><Relationship Id="rId16" Type="http://schemas.openxmlformats.org/officeDocument/2006/relationships/image" Target="../media/image320.png"/><Relationship Id="rId20" Type="http://schemas.openxmlformats.org/officeDocument/2006/relationships/image" Target="../media/image324.png"/><Relationship Id="rId29" Type="http://schemas.openxmlformats.org/officeDocument/2006/relationships/image" Target="../media/image333.png"/><Relationship Id="rId1" Type="http://schemas.openxmlformats.org/officeDocument/2006/relationships/image" Target="../media/image305.png"/><Relationship Id="rId6" Type="http://schemas.openxmlformats.org/officeDocument/2006/relationships/image" Target="../media/image310.png"/><Relationship Id="rId11" Type="http://schemas.openxmlformats.org/officeDocument/2006/relationships/image" Target="../media/image315.png"/><Relationship Id="rId24" Type="http://schemas.openxmlformats.org/officeDocument/2006/relationships/image" Target="../media/image328.png"/><Relationship Id="rId5" Type="http://schemas.openxmlformats.org/officeDocument/2006/relationships/image" Target="../media/image309.png"/><Relationship Id="rId15" Type="http://schemas.openxmlformats.org/officeDocument/2006/relationships/image" Target="../media/image319.png"/><Relationship Id="rId23" Type="http://schemas.openxmlformats.org/officeDocument/2006/relationships/image" Target="../media/image327.png"/><Relationship Id="rId28" Type="http://schemas.openxmlformats.org/officeDocument/2006/relationships/image" Target="../media/image332.png"/><Relationship Id="rId10" Type="http://schemas.openxmlformats.org/officeDocument/2006/relationships/image" Target="../media/image314.png"/><Relationship Id="rId19" Type="http://schemas.openxmlformats.org/officeDocument/2006/relationships/image" Target="../media/image323.png"/><Relationship Id="rId4" Type="http://schemas.openxmlformats.org/officeDocument/2006/relationships/image" Target="../media/image308.png"/><Relationship Id="rId9" Type="http://schemas.openxmlformats.org/officeDocument/2006/relationships/image" Target="../media/image313.png"/><Relationship Id="rId14" Type="http://schemas.openxmlformats.org/officeDocument/2006/relationships/image" Target="../media/image318.png"/><Relationship Id="rId22" Type="http://schemas.openxmlformats.org/officeDocument/2006/relationships/image" Target="../media/image326.png"/><Relationship Id="rId27" Type="http://schemas.openxmlformats.org/officeDocument/2006/relationships/image" Target="../media/image331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6" Type="http://schemas.openxmlformats.org/officeDocument/2006/relationships/image" Target="../media/image26.emf"/><Relationship Id="rId5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32651</xdr:colOff>
          <xdr:row>3</xdr:row>
          <xdr:rowOff>8366</xdr:rowOff>
        </xdr:from>
        <xdr:to>
          <xdr:col>19</xdr:col>
          <xdr:colOff>213571</xdr:colOff>
          <xdr:row>4</xdr:row>
          <xdr:rowOff>208965</xdr:rowOff>
        </xdr:to>
        <xdr:pic>
          <xdr:nvPicPr>
            <xdr:cNvPr id="2295" name="Picture 28">
              <a:extLst>
                <a:ext uri="{FF2B5EF4-FFF2-40B4-BE49-F238E27FC236}">
                  <a16:creationId xmlns:a16="http://schemas.microsoft.com/office/drawing/2014/main" id="{00000000-0008-0000-0200-0000F708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Иконки_оружие" spid="_x0000_s913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659580" y="661509"/>
              <a:ext cx="834062" cy="418313"/>
            </a:xfrm>
            <a:prstGeom prst="rect">
              <a:avLst/>
            </a:prstGeom>
            <a:solidFill>
              <a:srgbClr val="333333" mc:Ignorable="a14" a14:legacySpreadsheetColorIndex="63">
                <a:alpha val="49019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C0C0C0" mc:Ignorable="a14" a14:legacySpreadsheetColorIndex="22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twoCellAnchor editAs="oneCell">
    <xdr:from>
      <xdr:col>10</xdr:col>
      <xdr:colOff>0</xdr:colOff>
      <xdr:row>5</xdr:row>
      <xdr:rowOff>0</xdr:rowOff>
    </xdr:from>
    <xdr:to>
      <xdr:col>11</xdr:col>
      <xdr:colOff>31</xdr:colOff>
      <xdr:row>6</xdr:row>
      <xdr:rowOff>2228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67325" y="781050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</xdr:row>
      <xdr:rowOff>0</xdr:rowOff>
    </xdr:from>
    <xdr:to>
      <xdr:col>12</xdr:col>
      <xdr:colOff>32</xdr:colOff>
      <xdr:row>6</xdr:row>
      <xdr:rowOff>2228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92750" y="762000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5</xdr:row>
      <xdr:rowOff>0</xdr:rowOff>
    </xdr:from>
    <xdr:to>
      <xdr:col>13</xdr:col>
      <xdr:colOff>29</xdr:colOff>
      <xdr:row>6</xdr:row>
      <xdr:rowOff>2228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715000" y="762000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5</xdr:row>
      <xdr:rowOff>0</xdr:rowOff>
    </xdr:from>
    <xdr:to>
      <xdr:col>15</xdr:col>
      <xdr:colOff>30</xdr:colOff>
      <xdr:row>6</xdr:row>
      <xdr:rowOff>2228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59500" y="762000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9</xdr:row>
      <xdr:rowOff>0</xdr:rowOff>
    </xdr:from>
    <xdr:to>
      <xdr:col>11</xdr:col>
      <xdr:colOff>31</xdr:colOff>
      <xdr:row>10</xdr:row>
      <xdr:rowOff>30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70500" y="1606550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13</xdr:row>
      <xdr:rowOff>0</xdr:rowOff>
    </xdr:from>
    <xdr:to>
      <xdr:col>11</xdr:col>
      <xdr:colOff>31</xdr:colOff>
      <xdr:row>14</xdr:row>
      <xdr:rowOff>32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70500" y="2451100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9</xdr:row>
      <xdr:rowOff>0</xdr:rowOff>
    </xdr:from>
    <xdr:to>
      <xdr:col>12</xdr:col>
      <xdr:colOff>32</xdr:colOff>
      <xdr:row>10</xdr:row>
      <xdr:rowOff>30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92750" y="1606550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13</xdr:row>
      <xdr:rowOff>0</xdr:rowOff>
    </xdr:from>
    <xdr:to>
      <xdr:col>12</xdr:col>
      <xdr:colOff>32</xdr:colOff>
      <xdr:row>14</xdr:row>
      <xdr:rowOff>32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92750" y="2451100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9</xdr:row>
      <xdr:rowOff>0</xdr:rowOff>
    </xdr:from>
    <xdr:to>
      <xdr:col>13</xdr:col>
      <xdr:colOff>29</xdr:colOff>
      <xdr:row>10</xdr:row>
      <xdr:rowOff>30</xdr:rowOff>
    </xdr:to>
    <xdr:pic>
      <xdr:nvPicPr>
        <xdr:cNvPr id="30" name="Рисунок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715000" y="1606550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13</xdr:row>
      <xdr:rowOff>0</xdr:rowOff>
    </xdr:from>
    <xdr:to>
      <xdr:col>13</xdr:col>
      <xdr:colOff>29</xdr:colOff>
      <xdr:row>14</xdr:row>
      <xdr:rowOff>32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715000" y="2451100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9</xdr:row>
      <xdr:rowOff>0</xdr:rowOff>
    </xdr:from>
    <xdr:to>
      <xdr:col>14</xdr:col>
      <xdr:colOff>33</xdr:colOff>
      <xdr:row>10</xdr:row>
      <xdr:rowOff>30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37250" y="1606550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13</xdr:row>
      <xdr:rowOff>0</xdr:rowOff>
    </xdr:from>
    <xdr:to>
      <xdr:col>14</xdr:col>
      <xdr:colOff>33</xdr:colOff>
      <xdr:row>14</xdr:row>
      <xdr:rowOff>32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37250" y="2451100"/>
          <a:ext cx="219106" cy="2191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7327</xdr:colOff>
          <xdr:row>2</xdr:row>
          <xdr:rowOff>209551</xdr:rowOff>
        </xdr:from>
        <xdr:to>
          <xdr:col>13</xdr:col>
          <xdr:colOff>188246</xdr:colOff>
          <xdr:row>4</xdr:row>
          <xdr:rowOff>191075</xdr:rowOff>
        </xdr:to>
        <xdr:pic>
          <xdr:nvPicPr>
            <xdr:cNvPr id="38" name="Picture 37">
              <a:extLst>
                <a:ext uri="{FF2B5EF4-FFF2-40B4-BE49-F238E27FC236}">
                  <a16:creationId xmlns:a16="http://schemas.microsoft.com/office/drawing/2014/main" id="{00000000-0008-0000-0200-00002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Иконки_шлемы" spid="_x0000_s91399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7341577" y="647701"/>
              <a:ext cx="838144" cy="419674"/>
            </a:xfrm>
            <a:prstGeom prst="rect">
              <a:avLst/>
            </a:prstGeom>
            <a:solidFill>
              <a:srgbClr val="333333" mc:Ignorable="a14" a14:legacySpreadsheetColorIndex="63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16980</xdr:colOff>
          <xdr:row>7</xdr:row>
          <xdr:rowOff>28575</xdr:rowOff>
        </xdr:from>
        <xdr:to>
          <xdr:col>13</xdr:col>
          <xdr:colOff>197899</xdr:colOff>
          <xdr:row>9</xdr:row>
          <xdr:rowOff>10099</xdr:rowOff>
        </xdr:to>
        <xdr:pic>
          <xdr:nvPicPr>
            <xdr:cNvPr id="42" name="Picture 11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Иконки_куртки" spid="_x0000_s91400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7351230" y="1562100"/>
              <a:ext cx="838144" cy="419674"/>
            </a:xfrm>
            <a:prstGeom prst="rect">
              <a:avLst/>
            </a:prstGeom>
            <a:solidFill>
              <a:srgbClr val="333333" mc:Ignorable="a14" a14:legacySpreadsheetColorIndex="6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4101</xdr:colOff>
          <xdr:row>11</xdr:row>
          <xdr:rowOff>28575</xdr:rowOff>
        </xdr:from>
        <xdr:to>
          <xdr:col>13</xdr:col>
          <xdr:colOff>185020</xdr:colOff>
          <xdr:row>13</xdr:row>
          <xdr:rowOff>11460</xdr:rowOff>
        </xdr:to>
        <xdr:pic>
          <xdr:nvPicPr>
            <xdr:cNvPr id="46" name="Picture 12">
              <a:extLst>
                <a:ext uri="{FF2B5EF4-FFF2-40B4-BE49-F238E27FC236}">
                  <a16:creationId xmlns:a16="http://schemas.microsoft.com/office/drawing/2014/main" id="{00000000-0008-0000-0200-00002E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Иконки_брюки" spid="_x0000_s91401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7338351" y="2438400"/>
              <a:ext cx="838144" cy="421035"/>
            </a:xfrm>
            <a:prstGeom prst="rect">
              <a:avLst/>
            </a:prstGeom>
            <a:solidFill>
              <a:srgbClr val="333333" mc:Ignorable="a14" a14:legacySpreadsheetColorIndex="6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twoCellAnchor editAs="oneCell">
    <xdr:from>
      <xdr:col>9</xdr:col>
      <xdr:colOff>0</xdr:colOff>
      <xdr:row>5</xdr:row>
      <xdr:rowOff>0</xdr:rowOff>
    </xdr:from>
    <xdr:to>
      <xdr:col>10</xdr:col>
      <xdr:colOff>31</xdr:colOff>
      <xdr:row>6</xdr:row>
      <xdr:rowOff>31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80000" y="814917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</xdr:row>
      <xdr:rowOff>0</xdr:rowOff>
    </xdr:from>
    <xdr:to>
      <xdr:col>10</xdr:col>
      <xdr:colOff>31</xdr:colOff>
      <xdr:row>10</xdr:row>
      <xdr:rowOff>30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80000" y="1682750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</xdr:row>
      <xdr:rowOff>0</xdr:rowOff>
    </xdr:from>
    <xdr:to>
      <xdr:col>10</xdr:col>
      <xdr:colOff>31</xdr:colOff>
      <xdr:row>14</xdr:row>
      <xdr:rowOff>32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80000" y="2550583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13</xdr:row>
      <xdr:rowOff>0</xdr:rowOff>
    </xdr:from>
    <xdr:to>
      <xdr:col>15</xdr:col>
      <xdr:colOff>30</xdr:colOff>
      <xdr:row>14</xdr:row>
      <xdr:rowOff>32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79167" y="3005667"/>
          <a:ext cx="222281" cy="222281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9</xdr:row>
      <xdr:rowOff>0</xdr:rowOff>
    </xdr:from>
    <xdr:to>
      <xdr:col>15</xdr:col>
      <xdr:colOff>30</xdr:colOff>
      <xdr:row>10</xdr:row>
      <xdr:rowOff>30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79167" y="1989667"/>
          <a:ext cx="222281" cy="2222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</xdr:row>
      <xdr:rowOff>0</xdr:rowOff>
    </xdr:from>
    <xdr:to>
      <xdr:col>16</xdr:col>
      <xdr:colOff>4794</xdr:colOff>
      <xdr:row>6</xdr:row>
      <xdr:rowOff>4794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77250" y="1111250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5</xdr:row>
      <xdr:rowOff>0</xdr:rowOff>
    </xdr:from>
    <xdr:to>
      <xdr:col>17</xdr:col>
      <xdr:colOff>4792</xdr:colOff>
      <xdr:row>6</xdr:row>
      <xdr:rowOff>4794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699500" y="1111250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5</xdr:row>
      <xdr:rowOff>0</xdr:rowOff>
    </xdr:from>
    <xdr:to>
      <xdr:col>18</xdr:col>
      <xdr:colOff>4795</xdr:colOff>
      <xdr:row>6</xdr:row>
      <xdr:rowOff>4794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921750" y="1111250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5</xdr:row>
      <xdr:rowOff>0</xdr:rowOff>
    </xdr:from>
    <xdr:to>
      <xdr:col>19</xdr:col>
      <xdr:colOff>4793</xdr:colOff>
      <xdr:row>6</xdr:row>
      <xdr:rowOff>4794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00" y="1111250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5</xdr:row>
      <xdr:rowOff>0</xdr:rowOff>
    </xdr:from>
    <xdr:to>
      <xdr:col>20</xdr:col>
      <xdr:colOff>4793</xdr:colOff>
      <xdr:row>6</xdr:row>
      <xdr:rowOff>4794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366250" y="1111250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</xdr:row>
      <xdr:rowOff>0</xdr:rowOff>
    </xdr:from>
    <xdr:to>
      <xdr:col>14</xdr:col>
      <xdr:colOff>33</xdr:colOff>
      <xdr:row>6</xdr:row>
      <xdr:rowOff>2228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032750" y="1111250"/>
          <a:ext cx="222282" cy="2244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18898</xdr:colOff>
          <xdr:row>14</xdr:row>
          <xdr:rowOff>11642</xdr:rowOff>
        </xdr:from>
        <xdr:to>
          <xdr:col>20</xdr:col>
          <xdr:colOff>18898</xdr:colOff>
          <xdr:row>16</xdr:row>
          <xdr:rowOff>4838</xdr:rowOff>
        </xdr:to>
        <xdr:pic>
          <xdr:nvPicPr>
            <xdr:cNvPr id="34" name="Picture 28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Иконки_гранаты" spid="_x0000_s91402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7629373" y="3078692"/>
              <a:ext cx="876300" cy="431346"/>
            </a:xfrm>
            <a:prstGeom prst="rect">
              <a:avLst/>
            </a:prstGeom>
            <a:solidFill>
              <a:srgbClr val="333333" mc:Ignorable="a14" a14:legacySpreadsheetColorIndex="63">
                <a:alpha val="49019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C0C0C0" mc:Ignorable="a14" a14:legacySpreadsheetColorIndex="22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13606</xdr:colOff>
          <xdr:row>19</xdr:row>
          <xdr:rowOff>13607</xdr:rowOff>
        </xdr:from>
        <xdr:to>
          <xdr:col>19</xdr:col>
          <xdr:colOff>213631</xdr:colOff>
          <xdr:row>21</xdr:row>
          <xdr:rowOff>2040</xdr:rowOff>
        </xdr:to>
        <xdr:pic>
          <xdr:nvPicPr>
            <xdr:cNvPr id="40" name="Picture 28">
              <a:extLst>
                <a:ext uri="{FF2B5EF4-FFF2-40B4-BE49-F238E27FC236}">
                  <a16:creationId xmlns:a16="http://schemas.microsoft.com/office/drawing/2014/main" id="{00000000-0008-0000-0200-00002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Иконки_мины" spid="_x0000_s91403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7624081" y="4176032"/>
              <a:ext cx="857250" cy="421821"/>
            </a:xfrm>
            <a:prstGeom prst="rect">
              <a:avLst/>
            </a:prstGeom>
            <a:solidFill>
              <a:srgbClr val="333333" mc:Ignorable="a14" a14:legacySpreadsheetColorIndex="63">
                <a:alpha val="49019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C0C0C0" mc:Ignorable="a14" a14:legacySpreadsheetColorIndex="22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202408</xdr:colOff>
          <xdr:row>17</xdr:row>
          <xdr:rowOff>173832</xdr:rowOff>
        </xdr:from>
        <xdr:to>
          <xdr:col>13</xdr:col>
          <xdr:colOff>187670</xdr:colOff>
          <xdr:row>19</xdr:row>
          <xdr:rowOff>165399</xdr:rowOff>
        </xdr:to>
        <xdr:pic>
          <xdr:nvPicPr>
            <xdr:cNvPr id="35" name="Picture 12">
              <a:extLst>
                <a:ext uri="{FF2B5EF4-FFF2-40B4-BE49-F238E27FC236}">
                  <a16:creationId xmlns:a16="http://schemas.microsoft.com/office/drawing/2014/main" id="{00000000-0008-0000-0200-00002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Иконки_щиты" spid="_x0000_s91404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>
              <a:off x="6262689" y="3817145"/>
              <a:ext cx="842512" cy="420192"/>
            </a:xfrm>
            <a:prstGeom prst="rect">
              <a:avLst/>
            </a:prstGeom>
            <a:solidFill>
              <a:srgbClr val="333333" mc:Ignorable="a14" a14:legacySpreadsheetColorIndex="6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twoCellAnchor editAs="oneCell">
    <xdr:from>
      <xdr:col>9</xdr:col>
      <xdr:colOff>0</xdr:colOff>
      <xdr:row>20</xdr:row>
      <xdr:rowOff>0</xdr:rowOff>
    </xdr:from>
    <xdr:to>
      <xdr:col>10</xdr:col>
      <xdr:colOff>31</xdr:colOff>
      <xdr:row>21</xdr:row>
      <xdr:rowOff>31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76950" y="3724275"/>
          <a:ext cx="219106" cy="219107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</xdr:row>
      <xdr:rowOff>0</xdr:rowOff>
    </xdr:from>
    <xdr:to>
      <xdr:col>12</xdr:col>
      <xdr:colOff>32</xdr:colOff>
      <xdr:row>21</xdr:row>
      <xdr:rowOff>31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15100" y="3724275"/>
          <a:ext cx="219107" cy="219107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20</xdr:row>
      <xdr:rowOff>0</xdr:rowOff>
    </xdr:from>
    <xdr:to>
      <xdr:col>13</xdr:col>
      <xdr:colOff>29</xdr:colOff>
      <xdr:row>21</xdr:row>
      <xdr:rowOff>31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734175" y="3724275"/>
          <a:ext cx="219104" cy="219107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20</xdr:row>
      <xdr:rowOff>0</xdr:rowOff>
    </xdr:from>
    <xdr:to>
      <xdr:col>14</xdr:col>
      <xdr:colOff>30</xdr:colOff>
      <xdr:row>21</xdr:row>
      <xdr:rowOff>31</xdr:rowOff>
    </xdr:to>
    <xdr:pic>
      <xdr:nvPicPr>
        <xdr:cNvPr id="52" name="Рисунок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53250" y="3724275"/>
          <a:ext cx="219105" cy="219107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20</xdr:row>
      <xdr:rowOff>0</xdr:rowOff>
    </xdr:from>
    <xdr:to>
      <xdr:col>11</xdr:col>
      <xdr:colOff>31</xdr:colOff>
      <xdr:row>21</xdr:row>
      <xdr:rowOff>30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296025" y="3724275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5</xdr:row>
      <xdr:rowOff>0</xdr:rowOff>
    </xdr:from>
    <xdr:to>
      <xdr:col>21</xdr:col>
      <xdr:colOff>31</xdr:colOff>
      <xdr:row>6</xdr:row>
      <xdr:rowOff>31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486775" y="1095375"/>
          <a:ext cx="219106" cy="2191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</xdr:row>
      <xdr:rowOff>0</xdr:rowOff>
    </xdr:from>
    <xdr:to>
      <xdr:col>2</xdr:col>
      <xdr:colOff>120</xdr:colOff>
      <xdr:row>7</xdr:row>
      <xdr:rowOff>58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5143" y="2558143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2</xdr:col>
      <xdr:colOff>120</xdr:colOff>
      <xdr:row>8</xdr:row>
      <xdr:rowOff>58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15143" y="2979964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2</xdr:col>
      <xdr:colOff>120</xdr:colOff>
      <xdr:row>9</xdr:row>
      <xdr:rowOff>58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15143" y="3401786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2</xdr:col>
      <xdr:colOff>120</xdr:colOff>
      <xdr:row>10</xdr:row>
      <xdr:rowOff>58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5143" y="3823607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7560</xdr:colOff>
      <xdr:row>8</xdr:row>
      <xdr:rowOff>415774</xdr:rowOff>
    </xdr:from>
    <xdr:to>
      <xdr:col>2</xdr:col>
      <xdr:colOff>7680</xdr:colOff>
      <xdr:row>9</xdr:row>
      <xdr:rowOff>411598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15143" y="3823607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2</xdr:col>
      <xdr:colOff>120</xdr:colOff>
      <xdr:row>11</xdr:row>
      <xdr:rowOff>58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15143" y="4245429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2</xdr:col>
      <xdr:colOff>120</xdr:colOff>
      <xdr:row>12</xdr:row>
      <xdr:rowOff>58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15143" y="466725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2</xdr:col>
      <xdr:colOff>120</xdr:colOff>
      <xdr:row>13</xdr:row>
      <xdr:rowOff>58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15143" y="5089071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2</xdr:col>
      <xdr:colOff>120</xdr:colOff>
      <xdr:row>14</xdr:row>
      <xdr:rowOff>58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15143" y="5510893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2</xdr:col>
      <xdr:colOff>120</xdr:colOff>
      <xdr:row>15</xdr:row>
      <xdr:rowOff>58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15143" y="5932714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2</xdr:col>
      <xdr:colOff>120</xdr:colOff>
      <xdr:row>16</xdr:row>
      <xdr:rowOff>58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15143" y="6354536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2</xdr:col>
      <xdr:colOff>120</xdr:colOff>
      <xdr:row>17</xdr:row>
      <xdr:rowOff>58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15143" y="6776357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2</xdr:col>
      <xdr:colOff>120</xdr:colOff>
      <xdr:row>18</xdr:row>
      <xdr:rowOff>58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15143" y="7198179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120</xdr:colOff>
      <xdr:row>19</xdr:row>
      <xdr:rowOff>58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15143" y="76200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120</xdr:colOff>
      <xdr:row>20</xdr:row>
      <xdr:rowOff>58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415143" y="8041821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2</xdr:col>
      <xdr:colOff>120</xdr:colOff>
      <xdr:row>24</xdr:row>
      <xdr:rowOff>58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09700" y="9667875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2</xdr:col>
      <xdr:colOff>120</xdr:colOff>
      <xdr:row>25</xdr:row>
      <xdr:rowOff>58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09700" y="10086975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120</xdr:colOff>
      <xdr:row>26</xdr:row>
      <xdr:rowOff>58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09700" y="10506075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120</xdr:colOff>
      <xdr:row>27</xdr:row>
      <xdr:rowOff>58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409700" y="10925175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120</xdr:colOff>
      <xdr:row>28</xdr:row>
      <xdr:rowOff>58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409700" y="11344275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120</xdr:colOff>
      <xdr:row>29</xdr:row>
      <xdr:rowOff>58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409700" y="11763375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</xdr:col>
      <xdr:colOff>120</xdr:colOff>
      <xdr:row>30</xdr:row>
      <xdr:rowOff>58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409700" y="12182475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2</xdr:col>
      <xdr:colOff>120</xdr:colOff>
      <xdr:row>31</xdr:row>
      <xdr:rowOff>58</xdr:rowOff>
    </xdr:to>
    <xdr:pic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409700" y="12601575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2</xdr:col>
      <xdr:colOff>120</xdr:colOff>
      <xdr:row>32</xdr:row>
      <xdr:rowOff>58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409700" y="13020675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2</xdr:col>
      <xdr:colOff>120</xdr:colOff>
      <xdr:row>33</xdr:row>
      <xdr:rowOff>58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409700" y="13439775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2</xdr:col>
      <xdr:colOff>120</xdr:colOff>
      <xdr:row>34</xdr:row>
      <xdr:rowOff>58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09700" y="13858875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34</xdr:row>
      <xdr:rowOff>0</xdr:rowOff>
    </xdr:from>
    <xdr:to>
      <xdr:col>2</xdr:col>
      <xdr:colOff>120</xdr:colOff>
      <xdr:row>35</xdr:row>
      <xdr:rowOff>58</xdr:rowOff>
    </xdr:to>
    <xdr:pic>
      <xdr:nvPicPr>
        <xdr:cNvPr id="30" name="Рисунок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09700" y="14277975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2</xdr:col>
      <xdr:colOff>120</xdr:colOff>
      <xdr:row>36</xdr:row>
      <xdr:rowOff>58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09700" y="14697075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2</xdr:col>
      <xdr:colOff>120</xdr:colOff>
      <xdr:row>37</xdr:row>
      <xdr:rowOff>58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409700" y="15116175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2</xdr:col>
      <xdr:colOff>120</xdr:colOff>
      <xdr:row>41</xdr:row>
      <xdr:rowOff>6408</xdr:rowOff>
    </xdr:to>
    <xdr:pic>
      <xdr:nvPicPr>
        <xdr:cNvPr id="34" name="Рисунок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409700" y="168783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2</xdr:col>
      <xdr:colOff>120</xdr:colOff>
      <xdr:row>42</xdr:row>
      <xdr:rowOff>6408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409700" y="173355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2</xdr:col>
      <xdr:colOff>120</xdr:colOff>
      <xdr:row>43</xdr:row>
      <xdr:rowOff>6408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409700" y="177927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2</xdr:col>
      <xdr:colOff>120</xdr:colOff>
      <xdr:row>44</xdr:row>
      <xdr:rowOff>6408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409700" y="182499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2</xdr:col>
      <xdr:colOff>120</xdr:colOff>
      <xdr:row>45</xdr:row>
      <xdr:rowOff>6408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409700" y="187071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2</xdr:col>
      <xdr:colOff>120</xdr:colOff>
      <xdr:row>46</xdr:row>
      <xdr:rowOff>6408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409700" y="191643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46</xdr:row>
      <xdr:rowOff>0</xdr:rowOff>
    </xdr:from>
    <xdr:to>
      <xdr:col>2</xdr:col>
      <xdr:colOff>120</xdr:colOff>
      <xdr:row>47</xdr:row>
      <xdr:rowOff>6408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1409700" y="196215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47</xdr:row>
      <xdr:rowOff>0</xdr:rowOff>
    </xdr:from>
    <xdr:to>
      <xdr:col>2</xdr:col>
      <xdr:colOff>120</xdr:colOff>
      <xdr:row>48</xdr:row>
      <xdr:rowOff>6408</xdr:rowOff>
    </xdr:to>
    <xdr:pic>
      <xdr:nvPicPr>
        <xdr:cNvPr id="42" name="Рисунок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1409700" y="200787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48</xdr:row>
      <xdr:rowOff>0</xdr:rowOff>
    </xdr:from>
    <xdr:to>
      <xdr:col>2</xdr:col>
      <xdr:colOff>120</xdr:colOff>
      <xdr:row>49</xdr:row>
      <xdr:rowOff>6408</xdr:rowOff>
    </xdr:to>
    <xdr:pic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1409700" y="205359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2</xdr:col>
      <xdr:colOff>120</xdr:colOff>
      <xdr:row>50</xdr:row>
      <xdr:rowOff>6408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1409700" y="209931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2</xdr:col>
      <xdr:colOff>120</xdr:colOff>
      <xdr:row>51</xdr:row>
      <xdr:rowOff>6408</xdr:rowOff>
    </xdr:to>
    <xdr:pic>
      <xdr:nvPicPr>
        <xdr:cNvPr id="46" name="Рисунок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1409700" y="214503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2</xdr:col>
      <xdr:colOff>120</xdr:colOff>
      <xdr:row>52</xdr:row>
      <xdr:rowOff>6408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1409700" y="219075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2</xdr:col>
      <xdr:colOff>120</xdr:colOff>
      <xdr:row>53</xdr:row>
      <xdr:rowOff>6408</xdr:rowOff>
    </xdr:to>
    <xdr:pic>
      <xdr:nvPicPr>
        <xdr:cNvPr id="48" name="Рисунок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409700" y="223647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56</xdr:row>
      <xdr:rowOff>0</xdr:rowOff>
    </xdr:from>
    <xdr:to>
      <xdr:col>2</xdr:col>
      <xdr:colOff>120</xdr:colOff>
      <xdr:row>57</xdr:row>
      <xdr:rowOff>6408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1415143" y="24139071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57</xdr:row>
      <xdr:rowOff>0</xdr:rowOff>
    </xdr:from>
    <xdr:to>
      <xdr:col>2</xdr:col>
      <xdr:colOff>120</xdr:colOff>
      <xdr:row>58</xdr:row>
      <xdr:rowOff>6408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1415143" y="24588107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58</xdr:row>
      <xdr:rowOff>0</xdr:rowOff>
    </xdr:from>
    <xdr:to>
      <xdr:col>2</xdr:col>
      <xdr:colOff>120</xdr:colOff>
      <xdr:row>59</xdr:row>
      <xdr:rowOff>6408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415143" y="25037143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59</xdr:row>
      <xdr:rowOff>0</xdr:rowOff>
    </xdr:from>
    <xdr:to>
      <xdr:col>2</xdr:col>
      <xdr:colOff>120</xdr:colOff>
      <xdr:row>60</xdr:row>
      <xdr:rowOff>6408</xdr:rowOff>
    </xdr:to>
    <xdr:pic>
      <xdr:nvPicPr>
        <xdr:cNvPr id="52" name="Рисунок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1415143" y="25486179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60</xdr:row>
      <xdr:rowOff>0</xdr:rowOff>
    </xdr:from>
    <xdr:to>
      <xdr:col>2</xdr:col>
      <xdr:colOff>120</xdr:colOff>
      <xdr:row>61</xdr:row>
      <xdr:rowOff>6408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1415143" y="25935214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61</xdr:row>
      <xdr:rowOff>0</xdr:rowOff>
    </xdr:from>
    <xdr:to>
      <xdr:col>2</xdr:col>
      <xdr:colOff>120</xdr:colOff>
      <xdr:row>62</xdr:row>
      <xdr:rowOff>6408</xdr:rowOff>
    </xdr:to>
    <xdr:pic>
      <xdr:nvPicPr>
        <xdr:cNvPr id="54" name="Рисунок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1415143" y="2638425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62</xdr:row>
      <xdr:rowOff>0</xdr:rowOff>
    </xdr:from>
    <xdr:to>
      <xdr:col>2</xdr:col>
      <xdr:colOff>120</xdr:colOff>
      <xdr:row>63</xdr:row>
      <xdr:rowOff>6408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1415143" y="26833286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63</xdr:row>
      <xdr:rowOff>0</xdr:rowOff>
    </xdr:from>
    <xdr:to>
      <xdr:col>2</xdr:col>
      <xdr:colOff>120</xdr:colOff>
      <xdr:row>64</xdr:row>
      <xdr:rowOff>6408</xdr:rowOff>
    </xdr:to>
    <xdr:pic>
      <xdr:nvPicPr>
        <xdr:cNvPr id="56" name="Рисунок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1415143" y="27282321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64</xdr:row>
      <xdr:rowOff>0</xdr:rowOff>
    </xdr:from>
    <xdr:to>
      <xdr:col>2</xdr:col>
      <xdr:colOff>120</xdr:colOff>
      <xdr:row>65</xdr:row>
      <xdr:rowOff>6408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415143" y="27731357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65</xdr:row>
      <xdr:rowOff>0</xdr:rowOff>
    </xdr:from>
    <xdr:to>
      <xdr:col>2</xdr:col>
      <xdr:colOff>120</xdr:colOff>
      <xdr:row>66</xdr:row>
      <xdr:rowOff>6408</xdr:rowOff>
    </xdr:to>
    <xdr:pic>
      <xdr:nvPicPr>
        <xdr:cNvPr id="58" name="Рисунок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415143" y="28180393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66</xdr:row>
      <xdr:rowOff>0</xdr:rowOff>
    </xdr:from>
    <xdr:to>
      <xdr:col>2</xdr:col>
      <xdr:colOff>120</xdr:colOff>
      <xdr:row>67</xdr:row>
      <xdr:rowOff>6408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415143" y="28629429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67</xdr:row>
      <xdr:rowOff>0</xdr:rowOff>
    </xdr:from>
    <xdr:to>
      <xdr:col>2</xdr:col>
      <xdr:colOff>120</xdr:colOff>
      <xdr:row>68</xdr:row>
      <xdr:rowOff>6408</xdr:rowOff>
    </xdr:to>
    <xdr:pic>
      <xdr:nvPicPr>
        <xdr:cNvPr id="60" name="Рисунок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415143" y="29078464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68</xdr:row>
      <xdr:rowOff>0</xdr:rowOff>
    </xdr:from>
    <xdr:to>
      <xdr:col>2</xdr:col>
      <xdr:colOff>120</xdr:colOff>
      <xdr:row>69</xdr:row>
      <xdr:rowOff>6408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415143" y="295275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69</xdr:row>
      <xdr:rowOff>0</xdr:rowOff>
    </xdr:from>
    <xdr:to>
      <xdr:col>2</xdr:col>
      <xdr:colOff>120</xdr:colOff>
      <xdr:row>70</xdr:row>
      <xdr:rowOff>6408</xdr:rowOff>
    </xdr:to>
    <xdr:pic>
      <xdr:nvPicPr>
        <xdr:cNvPr id="62" name="Рисунок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15143" y="29976536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70</xdr:row>
      <xdr:rowOff>0</xdr:rowOff>
    </xdr:from>
    <xdr:to>
      <xdr:col>2</xdr:col>
      <xdr:colOff>120</xdr:colOff>
      <xdr:row>71</xdr:row>
      <xdr:rowOff>6408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415143" y="30425571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71</xdr:row>
      <xdr:rowOff>0</xdr:rowOff>
    </xdr:from>
    <xdr:to>
      <xdr:col>2</xdr:col>
      <xdr:colOff>120</xdr:colOff>
      <xdr:row>72</xdr:row>
      <xdr:rowOff>6408</xdr:rowOff>
    </xdr:to>
    <xdr:pic>
      <xdr:nvPicPr>
        <xdr:cNvPr id="192" name="Рисунок 191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415143" y="30874607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72</xdr:row>
      <xdr:rowOff>0</xdr:rowOff>
    </xdr:from>
    <xdr:to>
      <xdr:col>2</xdr:col>
      <xdr:colOff>120</xdr:colOff>
      <xdr:row>73</xdr:row>
      <xdr:rowOff>6408</xdr:rowOff>
    </xdr:to>
    <xdr:pic>
      <xdr:nvPicPr>
        <xdr:cNvPr id="193" name="Рисунок 192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415143" y="31323643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73</xdr:row>
      <xdr:rowOff>0</xdr:rowOff>
    </xdr:from>
    <xdr:to>
      <xdr:col>2</xdr:col>
      <xdr:colOff>120</xdr:colOff>
      <xdr:row>74</xdr:row>
      <xdr:rowOff>6408</xdr:rowOff>
    </xdr:to>
    <xdr:pic>
      <xdr:nvPicPr>
        <xdr:cNvPr id="194" name="Рисунок 193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415143" y="31772679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2</xdr:col>
      <xdr:colOff>120</xdr:colOff>
      <xdr:row>75</xdr:row>
      <xdr:rowOff>6408</xdr:rowOff>
    </xdr:to>
    <xdr:pic>
      <xdr:nvPicPr>
        <xdr:cNvPr id="195" name="Рисунок 194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415143" y="32221714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75</xdr:row>
      <xdr:rowOff>0</xdr:rowOff>
    </xdr:from>
    <xdr:to>
      <xdr:col>2</xdr:col>
      <xdr:colOff>120</xdr:colOff>
      <xdr:row>76</xdr:row>
      <xdr:rowOff>6408</xdr:rowOff>
    </xdr:to>
    <xdr:pic>
      <xdr:nvPicPr>
        <xdr:cNvPr id="196" name="Рисунок 195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415143" y="3267075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76</xdr:row>
      <xdr:rowOff>0</xdr:rowOff>
    </xdr:from>
    <xdr:to>
      <xdr:col>2</xdr:col>
      <xdr:colOff>120</xdr:colOff>
      <xdr:row>77</xdr:row>
      <xdr:rowOff>6408</xdr:rowOff>
    </xdr:to>
    <xdr:pic>
      <xdr:nvPicPr>
        <xdr:cNvPr id="197" name="Рисунок 196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415143" y="33119786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77</xdr:row>
      <xdr:rowOff>0</xdr:rowOff>
    </xdr:from>
    <xdr:to>
      <xdr:col>2</xdr:col>
      <xdr:colOff>120</xdr:colOff>
      <xdr:row>78</xdr:row>
      <xdr:rowOff>6408</xdr:rowOff>
    </xdr:to>
    <xdr:pic>
      <xdr:nvPicPr>
        <xdr:cNvPr id="198" name="Рисунок 197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415143" y="33568821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78</xdr:row>
      <xdr:rowOff>0</xdr:rowOff>
    </xdr:from>
    <xdr:to>
      <xdr:col>2</xdr:col>
      <xdr:colOff>120</xdr:colOff>
      <xdr:row>79</xdr:row>
      <xdr:rowOff>6408</xdr:rowOff>
    </xdr:to>
    <xdr:pic>
      <xdr:nvPicPr>
        <xdr:cNvPr id="199" name="Рисунок 198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415143" y="34017857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79</xdr:row>
      <xdr:rowOff>0</xdr:rowOff>
    </xdr:from>
    <xdr:to>
      <xdr:col>2</xdr:col>
      <xdr:colOff>120</xdr:colOff>
      <xdr:row>80</xdr:row>
      <xdr:rowOff>6408</xdr:rowOff>
    </xdr:to>
    <xdr:pic>
      <xdr:nvPicPr>
        <xdr:cNvPr id="200" name="Рисунок 199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415143" y="34466893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80</xdr:row>
      <xdr:rowOff>0</xdr:rowOff>
    </xdr:from>
    <xdr:to>
      <xdr:col>2</xdr:col>
      <xdr:colOff>120</xdr:colOff>
      <xdr:row>81</xdr:row>
      <xdr:rowOff>6408</xdr:rowOff>
    </xdr:to>
    <xdr:pic>
      <xdr:nvPicPr>
        <xdr:cNvPr id="201" name="Рисунок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415143" y="34915929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2</xdr:col>
      <xdr:colOff>120</xdr:colOff>
      <xdr:row>85</xdr:row>
      <xdr:rowOff>6408</xdr:rowOff>
    </xdr:to>
    <xdr:pic>
      <xdr:nvPicPr>
        <xdr:cNvPr id="203" name="Рисунок 202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409700" y="369951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85</xdr:row>
      <xdr:rowOff>0</xdr:rowOff>
    </xdr:from>
    <xdr:to>
      <xdr:col>2</xdr:col>
      <xdr:colOff>120</xdr:colOff>
      <xdr:row>86</xdr:row>
      <xdr:rowOff>6408</xdr:rowOff>
    </xdr:to>
    <xdr:pic>
      <xdr:nvPicPr>
        <xdr:cNvPr id="204" name="Рисунок 203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409700" y="374523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86</xdr:row>
      <xdr:rowOff>0</xdr:rowOff>
    </xdr:from>
    <xdr:to>
      <xdr:col>2</xdr:col>
      <xdr:colOff>120</xdr:colOff>
      <xdr:row>87</xdr:row>
      <xdr:rowOff>6408</xdr:rowOff>
    </xdr:to>
    <xdr:pic>
      <xdr:nvPicPr>
        <xdr:cNvPr id="205" name="Рисунок 204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409700" y="379095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87</xdr:row>
      <xdr:rowOff>0</xdr:rowOff>
    </xdr:from>
    <xdr:to>
      <xdr:col>2</xdr:col>
      <xdr:colOff>120</xdr:colOff>
      <xdr:row>88</xdr:row>
      <xdr:rowOff>6408</xdr:rowOff>
    </xdr:to>
    <xdr:pic>
      <xdr:nvPicPr>
        <xdr:cNvPr id="206" name="Рисунок 205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409700" y="3789045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88</xdr:row>
      <xdr:rowOff>0</xdr:rowOff>
    </xdr:from>
    <xdr:to>
      <xdr:col>2</xdr:col>
      <xdr:colOff>120</xdr:colOff>
      <xdr:row>89</xdr:row>
      <xdr:rowOff>6408</xdr:rowOff>
    </xdr:to>
    <xdr:pic>
      <xdr:nvPicPr>
        <xdr:cNvPr id="207" name="Рисунок 206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409700" y="38338125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89</xdr:row>
      <xdr:rowOff>0</xdr:rowOff>
    </xdr:from>
    <xdr:to>
      <xdr:col>2</xdr:col>
      <xdr:colOff>120</xdr:colOff>
      <xdr:row>90</xdr:row>
      <xdr:rowOff>6408</xdr:rowOff>
    </xdr:to>
    <xdr:pic>
      <xdr:nvPicPr>
        <xdr:cNvPr id="208" name="Рисунок 207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409700" y="387858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90</xdr:row>
      <xdr:rowOff>0</xdr:rowOff>
    </xdr:from>
    <xdr:to>
      <xdr:col>2</xdr:col>
      <xdr:colOff>120</xdr:colOff>
      <xdr:row>91</xdr:row>
      <xdr:rowOff>58</xdr:rowOff>
    </xdr:to>
    <xdr:pic>
      <xdr:nvPicPr>
        <xdr:cNvPr id="209" name="Рисунок 208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409700" y="377190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91</xdr:row>
      <xdr:rowOff>0</xdr:rowOff>
    </xdr:from>
    <xdr:to>
      <xdr:col>2</xdr:col>
      <xdr:colOff>120</xdr:colOff>
      <xdr:row>92</xdr:row>
      <xdr:rowOff>58</xdr:rowOff>
    </xdr:to>
    <xdr:pic>
      <xdr:nvPicPr>
        <xdr:cNvPr id="210" name="Рисунок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409700" y="381381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92</xdr:row>
      <xdr:rowOff>0</xdr:rowOff>
    </xdr:from>
    <xdr:to>
      <xdr:col>2</xdr:col>
      <xdr:colOff>120</xdr:colOff>
      <xdr:row>93</xdr:row>
      <xdr:rowOff>58</xdr:rowOff>
    </xdr:to>
    <xdr:pic>
      <xdr:nvPicPr>
        <xdr:cNvPr id="211" name="Рисунок 210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409700" y="385572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93</xdr:row>
      <xdr:rowOff>0</xdr:rowOff>
    </xdr:from>
    <xdr:to>
      <xdr:col>2</xdr:col>
      <xdr:colOff>120</xdr:colOff>
      <xdr:row>94</xdr:row>
      <xdr:rowOff>58</xdr:rowOff>
    </xdr:to>
    <xdr:pic>
      <xdr:nvPicPr>
        <xdr:cNvPr id="212" name="Рисунок 211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409700" y="389763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94</xdr:row>
      <xdr:rowOff>0</xdr:rowOff>
    </xdr:from>
    <xdr:to>
      <xdr:col>2</xdr:col>
      <xdr:colOff>120</xdr:colOff>
      <xdr:row>95</xdr:row>
      <xdr:rowOff>58</xdr:rowOff>
    </xdr:to>
    <xdr:pic>
      <xdr:nvPicPr>
        <xdr:cNvPr id="213" name="Рисунок 212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409700" y="393954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95</xdr:row>
      <xdr:rowOff>0</xdr:rowOff>
    </xdr:from>
    <xdr:to>
      <xdr:col>2</xdr:col>
      <xdr:colOff>120</xdr:colOff>
      <xdr:row>96</xdr:row>
      <xdr:rowOff>58</xdr:rowOff>
    </xdr:to>
    <xdr:pic>
      <xdr:nvPicPr>
        <xdr:cNvPr id="214" name="Рисунок 213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409700" y="398145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96</xdr:row>
      <xdr:rowOff>0</xdr:rowOff>
    </xdr:from>
    <xdr:to>
      <xdr:col>2</xdr:col>
      <xdr:colOff>120</xdr:colOff>
      <xdr:row>97</xdr:row>
      <xdr:rowOff>58</xdr:rowOff>
    </xdr:to>
    <xdr:pic>
      <xdr:nvPicPr>
        <xdr:cNvPr id="215" name="Рисунок 214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409700" y="402336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100</xdr:row>
      <xdr:rowOff>0</xdr:rowOff>
    </xdr:from>
    <xdr:to>
      <xdr:col>2</xdr:col>
      <xdr:colOff>120</xdr:colOff>
      <xdr:row>101</xdr:row>
      <xdr:rowOff>6408</xdr:rowOff>
    </xdr:to>
    <xdr:pic>
      <xdr:nvPicPr>
        <xdr:cNvPr id="216" name="Рисунок 215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415143" y="42182143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101</xdr:row>
      <xdr:rowOff>0</xdr:rowOff>
    </xdr:from>
    <xdr:to>
      <xdr:col>2</xdr:col>
      <xdr:colOff>120</xdr:colOff>
      <xdr:row>102</xdr:row>
      <xdr:rowOff>6408</xdr:rowOff>
    </xdr:to>
    <xdr:pic>
      <xdr:nvPicPr>
        <xdr:cNvPr id="217" name="Рисунок 216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415143" y="42603964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102</xdr:row>
      <xdr:rowOff>0</xdr:rowOff>
    </xdr:from>
    <xdr:to>
      <xdr:col>2</xdr:col>
      <xdr:colOff>120</xdr:colOff>
      <xdr:row>103</xdr:row>
      <xdr:rowOff>6408</xdr:rowOff>
    </xdr:to>
    <xdr:pic>
      <xdr:nvPicPr>
        <xdr:cNvPr id="218" name="Рисунок 217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415143" y="43025786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103</xdr:row>
      <xdr:rowOff>0</xdr:rowOff>
    </xdr:from>
    <xdr:to>
      <xdr:col>2</xdr:col>
      <xdr:colOff>120</xdr:colOff>
      <xdr:row>104</xdr:row>
      <xdr:rowOff>6408</xdr:rowOff>
    </xdr:to>
    <xdr:pic>
      <xdr:nvPicPr>
        <xdr:cNvPr id="219" name="Рисунок 218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1415143" y="43447607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104</xdr:row>
      <xdr:rowOff>0</xdr:rowOff>
    </xdr:from>
    <xdr:to>
      <xdr:col>2</xdr:col>
      <xdr:colOff>120</xdr:colOff>
      <xdr:row>105</xdr:row>
      <xdr:rowOff>6408</xdr:rowOff>
    </xdr:to>
    <xdr:pic>
      <xdr:nvPicPr>
        <xdr:cNvPr id="220" name="Рисунок 219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1415143" y="43869429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105</xdr:row>
      <xdr:rowOff>0</xdr:rowOff>
    </xdr:from>
    <xdr:to>
      <xdr:col>2</xdr:col>
      <xdr:colOff>120</xdr:colOff>
      <xdr:row>106</xdr:row>
      <xdr:rowOff>6408</xdr:rowOff>
    </xdr:to>
    <xdr:pic>
      <xdr:nvPicPr>
        <xdr:cNvPr id="221" name="Рисунок 220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1415143" y="4429125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106</xdr:row>
      <xdr:rowOff>0</xdr:rowOff>
    </xdr:from>
    <xdr:to>
      <xdr:col>2</xdr:col>
      <xdr:colOff>120</xdr:colOff>
      <xdr:row>107</xdr:row>
      <xdr:rowOff>6408</xdr:rowOff>
    </xdr:to>
    <xdr:pic>
      <xdr:nvPicPr>
        <xdr:cNvPr id="222" name="Рисунок 221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1415143" y="44713071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107</xdr:row>
      <xdr:rowOff>0</xdr:rowOff>
    </xdr:from>
    <xdr:to>
      <xdr:col>2</xdr:col>
      <xdr:colOff>120</xdr:colOff>
      <xdr:row>108</xdr:row>
      <xdr:rowOff>6408</xdr:rowOff>
    </xdr:to>
    <xdr:pic>
      <xdr:nvPicPr>
        <xdr:cNvPr id="223" name="Рисунок 222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1415143" y="45134893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109</xdr:row>
      <xdr:rowOff>0</xdr:rowOff>
    </xdr:from>
    <xdr:to>
      <xdr:col>2</xdr:col>
      <xdr:colOff>120</xdr:colOff>
      <xdr:row>110</xdr:row>
      <xdr:rowOff>6408</xdr:rowOff>
    </xdr:to>
    <xdr:pic>
      <xdr:nvPicPr>
        <xdr:cNvPr id="187" name="Рисунок 186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1415143" y="45978536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108</xdr:row>
      <xdr:rowOff>0</xdr:rowOff>
    </xdr:from>
    <xdr:to>
      <xdr:col>2</xdr:col>
      <xdr:colOff>120</xdr:colOff>
      <xdr:row>109</xdr:row>
      <xdr:rowOff>6408</xdr:rowOff>
    </xdr:to>
    <xdr:pic>
      <xdr:nvPicPr>
        <xdr:cNvPr id="225" name="Рисунок 224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1415143" y="45556714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110</xdr:row>
      <xdr:rowOff>0</xdr:rowOff>
    </xdr:from>
    <xdr:to>
      <xdr:col>2</xdr:col>
      <xdr:colOff>120</xdr:colOff>
      <xdr:row>111</xdr:row>
      <xdr:rowOff>6408</xdr:rowOff>
    </xdr:to>
    <xdr:pic>
      <xdr:nvPicPr>
        <xdr:cNvPr id="226" name="Рисунок 225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415143" y="46400357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111</xdr:row>
      <xdr:rowOff>0</xdr:rowOff>
    </xdr:from>
    <xdr:to>
      <xdr:col>2</xdr:col>
      <xdr:colOff>120</xdr:colOff>
      <xdr:row>112</xdr:row>
      <xdr:rowOff>6408</xdr:rowOff>
    </xdr:to>
    <xdr:pic>
      <xdr:nvPicPr>
        <xdr:cNvPr id="128" name="Рисунок 127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1415143" y="46822179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112</xdr:row>
      <xdr:rowOff>0</xdr:rowOff>
    </xdr:from>
    <xdr:to>
      <xdr:col>2</xdr:col>
      <xdr:colOff>120</xdr:colOff>
      <xdr:row>113</xdr:row>
      <xdr:rowOff>6408</xdr:rowOff>
    </xdr:to>
    <xdr:pic>
      <xdr:nvPicPr>
        <xdr:cNvPr id="129" name="Рисунок 128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1415143" y="472440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113</xdr:row>
      <xdr:rowOff>0</xdr:rowOff>
    </xdr:from>
    <xdr:to>
      <xdr:col>2</xdr:col>
      <xdr:colOff>120</xdr:colOff>
      <xdr:row>114</xdr:row>
      <xdr:rowOff>6408</xdr:rowOff>
    </xdr:to>
    <xdr:pic>
      <xdr:nvPicPr>
        <xdr:cNvPr id="130" name="Рисунок 129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1415143" y="47665821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114</xdr:row>
      <xdr:rowOff>0</xdr:rowOff>
    </xdr:from>
    <xdr:to>
      <xdr:col>2</xdr:col>
      <xdr:colOff>120</xdr:colOff>
      <xdr:row>115</xdr:row>
      <xdr:rowOff>6408</xdr:rowOff>
    </xdr:to>
    <xdr:pic>
      <xdr:nvPicPr>
        <xdr:cNvPr id="131" name="Рисунок 13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1415143" y="48087643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115</xdr:row>
      <xdr:rowOff>0</xdr:rowOff>
    </xdr:from>
    <xdr:to>
      <xdr:col>2</xdr:col>
      <xdr:colOff>120</xdr:colOff>
      <xdr:row>116</xdr:row>
      <xdr:rowOff>6408</xdr:rowOff>
    </xdr:to>
    <xdr:pic>
      <xdr:nvPicPr>
        <xdr:cNvPr id="132" name="Рисунок 13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1415143" y="48509464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116</xdr:row>
      <xdr:rowOff>0</xdr:rowOff>
    </xdr:from>
    <xdr:to>
      <xdr:col>2</xdr:col>
      <xdr:colOff>120</xdr:colOff>
      <xdr:row>117</xdr:row>
      <xdr:rowOff>6408</xdr:rowOff>
    </xdr:to>
    <xdr:pic>
      <xdr:nvPicPr>
        <xdr:cNvPr id="133" name="Рисунок 132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1415143" y="48931286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117</xdr:row>
      <xdr:rowOff>0</xdr:rowOff>
    </xdr:from>
    <xdr:to>
      <xdr:col>2</xdr:col>
      <xdr:colOff>120</xdr:colOff>
      <xdr:row>118</xdr:row>
      <xdr:rowOff>6408</xdr:rowOff>
    </xdr:to>
    <xdr:pic>
      <xdr:nvPicPr>
        <xdr:cNvPr id="134" name="Рисунок 133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1415143" y="49353107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118</xdr:row>
      <xdr:rowOff>0</xdr:rowOff>
    </xdr:from>
    <xdr:to>
      <xdr:col>2</xdr:col>
      <xdr:colOff>120</xdr:colOff>
      <xdr:row>119</xdr:row>
      <xdr:rowOff>6408</xdr:rowOff>
    </xdr:to>
    <xdr:pic>
      <xdr:nvPicPr>
        <xdr:cNvPr id="135" name="Рисунок 134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1415143" y="49774929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119</xdr:row>
      <xdr:rowOff>0</xdr:rowOff>
    </xdr:from>
    <xdr:to>
      <xdr:col>2</xdr:col>
      <xdr:colOff>120</xdr:colOff>
      <xdr:row>120</xdr:row>
      <xdr:rowOff>6408</xdr:rowOff>
    </xdr:to>
    <xdr:pic>
      <xdr:nvPicPr>
        <xdr:cNvPr id="136" name="Рисунок 135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1415143" y="5019675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120</xdr:row>
      <xdr:rowOff>0</xdr:rowOff>
    </xdr:from>
    <xdr:to>
      <xdr:col>2</xdr:col>
      <xdr:colOff>120</xdr:colOff>
      <xdr:row>121</xdr:row>
      <xdr:rowOff>6408</xdr:rowOff>
    </xdr:to>
    <xdr:pic>
      <xdr:nvPicPr>
        <xdr:cNvPr id="137" name="Рисунок 136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1415143" y="50618571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121</xdr:row>
      <xdr:rowOff>0</xdr:rowOff>
    </xdr:from>
    <xdr:to>
      <xdr:col>2</xdr:col>
      <xdr:colOff>120</xdr:colOff>
      <xdr:row>122</xdr:row>
      <xdr:rowOff>6408</xdr:rowOff>
    </xdr:to>
    <xdr:pic>
      <xdr:nvPicPr>
        <xdr:cNvPr id="138" name="Рисунок 137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1415143" y="51040393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122</xdr:row>
      <xdr:rowOff>0</xdr:rowOff>
    </xdr:from>
    <xdr:to>
      <xdr:col>2</xdr:col>
      <xdr:colOff>120</xdr:colOff>
      <xdr:row>123</xdr:row>
      <xdr:rowOff>6408</xdr:rowOff>
    </xdr:to>
    <xdr:pic>
      <xdr:nvPicPr>
        <xdr:cNvPr id="139" name="Рисунок 138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1415143" y="51462214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123</xdr:row>
      <xdr:rowOff>0</xdr:rowOff>
    </xdr:from>
    <xdr:to>
      <xdr:col>2</xdr:col>
      <xdr:colOff>120</xdr:colOff>
      <xdr:row>124</xdr:row>
      <xdr:rowOff>6408</xdr:rowOff>
    </xdr:to>
    <xdr:pic>
      <xdr:nvPicPr>
        <xdr:cNvPr id="140" name="Рисунок 139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1415143" y="51884036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124</xdr:row>
      <xdr:rowOff>0</xdr:rowOff>
    </xdr:from>
    <xdr:to>
      <xdr:col>2</xdr:col>
      <xdr:colOff>120</xdr:colOff>
      <xdr:row>125</xdr:row>
      <xdr:rowOff>6408</xdr:rowOff>
    </xdr:to>
    <xdr:pic>
      <xdr:nvPicPr>
        <xdr:cNvPr id="141" name="Рисунок 140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1415143" y="52305857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2</xdr:col>
      <xdr:colOff>120</xdr:colOff>
      <xdr:row>6</xdr:row>
      <xdr:rowOff>58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1409700" y="20955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129</xdr:row>
      <xdr:rowOff>0</xdr:rowOff>
    </xdr:from>
    <xdr:to>
      <xdr:col>2</xdr:col>
      <xdr:colOff>120</xdr:colOff>
      <xdr:row>130</xdr:row>
      <xdr:rowOff>57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1409700" y="528066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130</xdr:row>
      <xdr:rowOff>0</xdr:rowOff>
    </xdr:from>
    <xdr:to>
      <xdr:col>2</xdr:col>
      <xdr:colOff>120</xdr:colOff>
      <xdr:row>131</xdr:row>
      <xdr:rowOff>59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1409700" y="532257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131</xdr:row>
      <xdr:rowOff>0</xdr:rowOff>
    </xdr:from>
    <xdr:to>
      <xdr:col>2</xdr:col>
      <xdr:colOff>120</xdr:colOff>
      <xdr:row>132</xdr:row>
      <xdr:rowOff>57</xdr:rowOff>
    </xdr:to>
    <xdr:pic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1409700" y="536448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132</xdr:row>
      <xdr:rowOff>0</xdr:rowOff>
    </xdr:from>
    <xdr:to>
      <xdr:col>2</xdr:col>
      <xdr:colOff>120</xdr:colOff>
      <xdr:row>133</xdr:row>
      <xdr:rowOff>59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1409700" y="540639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133</xdr:row>
      <xdr:rowOff>0</xdr:rowOff>
    </xdr:from>
    <xdr:to>
      <xdr:col>2</xdr:col>
      <xdr:colOff>120</xdr:colOff>
      <xdr:row>134</xdr:row>
      <xdr:rowOff>58</xdr:rowOff>
    </xdr:to>
    <xdr:pic>
      <xdr:nvPicPr>
        <xdr:cNvPr id="142" name="Рисунок 141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1409700" y="544830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134</xdr:row>
      <xdr:rowOff>0</xdr:rowOff>
    </xdr:from>
    <xdr:to>
      <xdr:col>2</xdr:col>
      <xdr:colOff>120</xdr:colOff>
      <xdr:row>135</xdr:row>
      <xdr:rowOff>57</xdr:rowOff>
    </xdr:to>
    <xdr:pic>
      <xdr:nvPicPr>
        <xdr:cNvPr id="143" name="Рисунок 142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1409700" y="549021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135</xdr:row>
      <xdr:rowOff>0</xdr:rowOff>
    </xdr:from>
    <xdr:to>
      <xdr:col>2</xdr:col>
      <xdr:colOff>120</xdr:colOff>
      <xdr:row>136</xdr:row>
      <xdr:rowOff>59</xdr:rowOff>
    </xdr:to>
    <xdr:pic>
      <xdr:nvPicPr>
        <xdr:cNvPr id="144" name="Рисунок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1409700" y="553212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136</xdr:row>
      <xdr:rowOff>0</xdr:rowOff>
    </xdr:from>
    <xdr:to>
      <xdr:col>2</xdr:col>
      <xdr:colOff>120</xdr:colOff>
      <xdr:row>137</xdr:row>
      <xdr:rowOff>57</xdr:rowOff>
    </xdr:to>
    <xdr:pic>
      <xdr:nvPicPr>
        <xdr:cNvPr id="145" name="Рисунок 144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1409700" y="557403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137</xdr:row>
      <xdr:rowOff>0</xdr:rowOff>
    </xdr:from>
    <xdr:to>
      <xdr:col>2</xdr:col>
      <xdr:colOff>120</xdr:colOff>
      <xdr:row>138</xdr:row>
      <xdr:rowOff>59</xdr:rowOff>
    </xdr:to>
    <xdr:pic>
      <xdr:nvPicPr>
        <xdr:cNvPr id="146" name="Рисунок 145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1409700" y="561594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138</xdr:row>
      <xdr:rowOff>0</xdr:rowOff>
    </xdr:from>
    <xdr:to>
      <xdr:col>2</xdr:col>
      <xdr:colOff>120</xdr:colOff>
      <xdr:row>139</xdr:row>
      <xdr:rowOff>57</xdr:rowOff>
    </xdr:to>
    <xdr:pic>
      <xdr:nvPicPr>
        <xdr:cNvPr id="147" name="Рисунок 146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1415143" y="57789536"/>
          <a:ext cx="857370" cy="4218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143</xdr:row>
      <xdr:rowOff>0</xdr:rowOff>
    </xdr:from>
    <xdr:to>
      <xdr:col>2</xdr:col>
      <xdr:colOff>120</xdr:colOff>
      <xdr:row>144</xdr:row>
      <xdr:rowOff>57</xdr:rowOff>
    </xdr:to>
    <xdr:pic>
      <xdr:nvPicPr>
        <xdr:cNvPr id="149" name="Рисунок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1409700" y="582549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144</xdr:row>
      <xdr:rowOff>0</xdr:rowOff>
    </xdr:from>
    <xdr:to>
      <xdr:col>2</xdr:col>
      <xdr:colOff>120</xdr:colOff>
      <xdr:row>145</xdr:row>
      <xdr:rowOff>58</xdr:rowOff>
    </xdr:to>
    <xdr:pic>
      <xdr:nvPicPr>
        <xdr:cNvPr id="150" name="Рисунок 149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1409700" y="586740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145</xdr:row>
      <xdr:rowOff>0</xdr:rowOff>
    </xdr:from>
    <xdr:to>
      <xdr:col>2</xdr:col>
      <xdr:colOff>120</xdr:colOff>
      <xdr:row>146</xdr:row>
      <xdr:rowOff>58</xdr:rowOff>
    </xdr:to>
    <xdr:pic>
      <xdr:nvPicPr>
        <xdr:cNvPr id="151" name="Рисунок 150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1409700" y="590931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146</xdr:row>
      <xdr:rowOff>0</xdr:rowOff>
    </xdr:from>
    <xdr:to>
      <xdr:col>2</xdr:col>
      <xdr:colOff>120</xdr:colOff>
      <xdr:row>147</xdr:row>
      <xdr:rowOff>58</xdr:rowOff>
    </xdr:to>
    <xdr:pic>
      <xdr:nvPicPr>
        <xdr:cNvPr id="152" name="Рисунок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1409700" y="595122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147</xdr:row>
      <xdr:rowOff>0</xdr:rowOff>
    </xdr:from>
    <xdr:to>
      <xdr:col>2</xdr:col>
      <xdr:colOff>120</xdr:colOff>
      <xdr:row>148</xdr:row>
      <xdr:rowOff>59</xdr:rowOff>
    </xdr:to>
    <xdr:pic>
      <xdr:nvPicPr>
        <xdr:cNvPr id="153" name="Рисунок 152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1409700" y="599313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148</xdr:row>
      <xdr:rowOff>0</xdr:rowOff>
    </xdr:from>
    <xdr:to>
      <xdr:col>2</xdr:col>
      <xdr:colOff>120</xdr:colOff>
      <xdr:row>149</xdr:row>
      <xdr:rowOff>57</xdr:rowOff>
    </xdr:to>
    <xdr:pic>
      <xdr:nvPicPr>
        <xdr:cNvPr id="154" name="Рисунок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1409700" y="603504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149</xdr:row>
      <xdr:rowOff>0</xdr:rowOff>
    </xdr:from>
    <xdr:to>
      <xdr:col>2</xdr:col>
      <xdr:colOff>120</xdr:colOff>
      <xdr:row>150</xdr:row>
      <xdr:rowOff>59</xdr:rowOff>
    </xdr:to>
    <xdr:pic>
      <xdr:nvPicPr>
        <xdr:cNvPr id="155" name="Рисунок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1409700" y="607695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150</xdr:row>
      <xdr:rowOff>0</xdr:rowOff>
    </xdr:from>
    <xdr:to>
      <xdr:col>2</xdr:col>
      <xdr:colOff>120</xdr:colOff>
      <xdr:row>151</xdr:row>
      <xdr:rowOff>57</xdr:rowOff>
    </xdr:to>
    <xdr:pic>
      <xdr:nvPicPr>
        <xdr:cNvPr id="156" name="Рисунок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1409700" y="611886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151</xdr:row>
      <xdr:rowOff>0</xdr:rowOff>
    </xdr:from>
    <xdr:to>
      <xdr:col>2</xdr:col>
      <xdr:colOff>120</xdr:colOff>
      <xdr:row>152</xdr:row>
      <xdr:rowOff>58</xdr:rowOff>
    </xdr:to>
    <xdr:pic>
      <xdr:nvPicPr>
        <xdr:cNvPr id="157" name="Рисунок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1409700" y="616077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152</xdr:row>
      <xdr:rowOff>0</xdr:rowOff>
    </xdr:from>
    <xdr:to>
      <xdr:col>2</xdr:col>
      <xdr:colOff>120</xdr:colOff>
      <xdr:row>153</xdr:row>
      <xdr:rowOff>58</xdr:rowOff>
    </xdr:to>
    <xdr:pic>
      <xdr:nvPicPr>
        <xdr:cNvPr id="158" name="Рисунок 157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1409700" y="62026800"/>
          <a:ext cx="857370" cy="41915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2</xdr:col>
      <xdr:colOff>66</xdr:colOff>
      <xdr:row>3</xdr:row>
      <xdr:rowOff>66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" y="23812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2</xdr:col>
      <xdr:colOff>66</xdr:colOff>
      <xdr:row>4</xdr:row>
      <xdr:rowOff>66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8125" y="71437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2</xdr:col>
      <xdr:colOff>4034</xdr:colOff>
      <xdr:row>5</xdr:row>
      <xdr:rowOff>66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1190625"/>
          <a:ext cx="480284" cy="47631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2</xdr:col>
      <xdr:colOff>66</xdr:colOff>
      <xdr:row>6</xdr:row>
      <xdr:rowOff>66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8125" y="166687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2</xdr:col>
      <xdr:colOff>66</xdr:colOff>
      <xdr:row>7</xdr:row>
      <xdr:rowOff>66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38125" y="214312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2</xdr:col>
      <xdr:colOff>66</xdr:colOff>
      <xdr:row>8</xdr:row>
      <xdr:rowOff>66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38125" y="261937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2</xdr:col>
      <xdr:colOff>66</xdr:colOff>
      <xdr:row>9</xdr:row>
      <xdr:rowOff>66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38125" y="309562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2</xdr:col>
      <xdr:colOff>66</xdr:colOff>
      <xdr:row>10</xdr:row>
      <xdr:rowOff>66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38125" y="357187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2</xdr:col>
      <xdr:colOff>66</xdr:colOff>
      <xdr:row>11</xdr:row>
      <xdr:rowOff>66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125" y="404812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2</xdr:col>
      <xdr:colOff>66</xdr:colOff>
      <xdr:row>12</xdr:row>
      <xdr:rowOff>66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8125" y="452437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2</xdr:col>
      <xdr:colOff>66</xdr:colOff>
      <xdr:row>13</xdr:row>
      <xdr:rowOff>66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125" y="500062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2</xdr:col>
      <xdr:colOff>66</xdr:colOff>
      <xdr:row>14</xdr:row>
      <xdr:rowOff>66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8125" y="547687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2</xdr:col>
      <xdr:colOff>66</xdr:colOff>
      <xdr:row>15</xdr:row>
      <xdr:rowOff>66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8125" y="595312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2</xdr:col>
      <xdr:colOff>66</xdr:colOff>
      <xdr:row>16</xdr:row>
      <xdr:rowOff>66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8125" y="642937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2</xdr:col>
      <xdr:colOff>66</xdr:colOff>
      <xdr:row>17</xdr:row>
      <xdr:rowOff>66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8125" y="690562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2</xdr:col>
      <xdr:colOff>66</xdr:colOff>
      <xdr:row>18</xdr:row>
      <xdr:rowOff>66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38125" y="738187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66</xdr:colOff>
      <xdr:row>19</xdr:row>
      <xdr:rowOff>66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38125" y="785812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66</xdr:colOff>
      <xdr:row>20</xdr:row>
      <xdr:rowOff>66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38125" y="833437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66</xdr:colOff>
      <xdr:row>21</xdr:row>
      <xdr:rowOff>66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38125" y="881062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2</xdr:col>
      <xdr:colOff>66</xdr:colOff>
      <xdr:row>22</xdr:row>
      <xdr:rowOff>66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38125" y="928687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2</xdr:col>
      <xdr:colOff>66</xdr:colOff>
      <xdr:row>23</xdr:row>
      <xdr:rowOff>66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38125" y="1023937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2</xdr:col>
      <xdr:colOff>66</xdr:colOff>
      <xdr:row>24</xdr:row>
      <xdr:rowOff>66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38125" y="1071562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3</xdr:row>
      <xdr:rowOff>0</xdr:rowOff>
    </xdr:from>
    <xdr:to>
      <xdr:col>38</xdr:col>
      <xdr:colOff>66</xdr:colOff>
      <xdr:row>4</xdr:row>
      <xdr:rowOff>66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171700" y="71437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2</xdr:row>
      <xdr:rowOff>0</xdr:rowOff>
    </xdr:from>
    <xdr:to>
      <xdr:col>34</xdr:col>
      <xdr:colOff>66</xdr:colOff>
      <xdr:row>3</xdr:row>
      <xdr:rowOff>66</xdr:rowOff>
    </xdr:to>
    <xdr:pic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029325" y="71437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2</xdr:row>
      <xdr:rowOff>0</xdr:rowOff>
    </xdr:from>
    <xdr:to>
      <xdr:col>18</xdr:col>
      <xdr:colOff>66</xdr:colOff>
      <xdr:row>3</xdr:row>
      <xdr:rowOff>66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3763625" y="71437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26</xdr:col>
      <xdr:colOff>66</xdr:colOff>
      <xdr:row>3</xdr:row>
      <xdr:rowOff>66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697200" y="71437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</xdr:row>
      <xdr:rowOff>0</xdr:rowOff>
    </xdr:from>
    <xdr:to>
      <xdr:col>6</xdr:col>
      <xdr:colOff>9591</xdr:colOff>
      <xdr:row>3</xdr:row>
      <xdr:rowOff>66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962900" y="71437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6</xdr:col>
      <xdr:colOff>9591</xdr:colOff>
      <xdr:row>4</xdr:row>
      <xdr:rowOff>66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962900" y="119062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6</xdr:col>
      <xdr:colOff>9591</xdr:colOff>
      <xdr:row>5</xdr:row>
      <xdr:rowOff>66</xdr:rowOff>
    </xdr:to>
    <xdr:pic>
      <xdr:nvPicPr>
        <xdr:cNvPr id="30" name="Рисунок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7962900" y="166687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</xdr:row>
      <xdr:rowOff>0</xdr:rowOff>
    </xdr:from>
    <xdr:to>
      <xdr:col>6</xdr:col>
      <xdr:colOff>9591</xdr:colOff>
      <xdr:row>6</xdr:row>
      <xdr:rowOff>66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962900" y="214312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</xdr:row>
      <xdr:rowOff>0</xdr:rowOff>
    </xdr:from>
    <xdr:to>
      <xdr:col>6</xdr:col>
      <xdr:colOff>9591</xdr:colOff>
      <xdr:row>7</xdr:row>
      <xdr:rowOff>66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962900" y="261937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6</xdr:col>
      <xdr:colOff>9591</xdr:colOff>
      <xdr:row>8</xdr:row>
      <xdr:rowOff>66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62900" y="309562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2</xdr:row>
      <xdr:rowOff>0</xdr:rowOff>
    </xdr:from>
    <xdr:to>
      <xdr:col>30</xdr:col>
      <xdr:colOff>66</xdr:colOff>
      <xdr:row>3</xdr:row>
      <xdr:rowOff>66</xdr:rowOff>
    </xdr:to>
    <xdr:pic>
      <xdr:nvPicPr>
        <xdr:cNvPr id="34" name="Рисунок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7612591" y="71870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2</xdr:row>
      <xdr:rowOff>0</xdr:rowOff>
    </xdr:from>
    <xdr:to>
      <xdr:col>38</xdr:col>
      <xdr:colOff>66</xdr:colOff>
      <xdr:row>3</xdr:row>
      <xdr:rowOff>66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4095750" y="71870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2</xdr:row>
      <xdr:rowOff>0</xdr:rowOff>
    </xdr:from>
    <xdr:to>
      <xdr:col>22</xdr:col>
      <xdr:colOff>66</xdr:colOff>
      <xdr:row>3</xdr:row>
      <xdr:rowOff>66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888682" y="71870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3</xdr:row>
      <xdr:rowOff>0</xdr:rowOff>
    </xdr:from>
    <xdr:to>
      <xdr:col>22</xdr:col>
      <xdr:colOff>66</xdr:colOff>
      <xdr:row>4</xdr:row>
      <xdr:rowOff>66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888682" y="119495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41</xdr:col>
      <xdr:colOff>0</xdr:colOff>
      <xdr:row>1</xdr:row>
      <xdr:rowOff>241788</xdr:rowOff>
    </xdr:from>
    <xdr:to>
      <xdr:col>42</xdr:col>
      <xdr:colOff>66</xdr:colOff>
      <xdr:row>2</xdr:row>
      <xdr:rowOff>474877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19584865" y="718038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</xdr:row>
      <xdr:rowOff>241788</xdr:rowOff>
    </xdr:from>
    <xdr:to>
      <xdr:col>10</xdr:col>
      <xdr:colOff>66</xdr:colOff>
      <xdr:row>2</xdr:row>
      <xdr:rowOff>474877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11840308" y="718038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2</xdr:row>
      <xdr:rowOff>476250</xdr:rowOff>
    </xdr:from>
    <xdr:to>
      <xdr:col>18</xdr:col>
      <xdr:colOff>66</xdr:colOff>
      <xdr:row>4</xdr:row>
      <xdr:rowOff>66</xdr:rowOff>
    </xdr:to>
    <xdr:pic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13774615" y="1194288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476250</xdr:rowOff>
    </xdr:from>
    <xdr:to>
      <xdr:col>10</xdr:col>
      <xdr:colOff>66</xdr:colOff>
      <xdr:row>4</xdr:row>
      <xdr:rowOff>66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11840308" y="1194288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</xdr:row>
      <xdr:rowOff>476250</xdr:rowOff>
    </xdr:from>
    <xdr:to>
      <xdr:col>10</xdr:col>
      <xdr:colOff>66</xdr:colOff>
      <xdr:row>5</xdr:row>
      <xdr:rowOff>66</xdr:rowOff>
    </xdr:to>
    <xdr:pic>
      <xdr:nvPicPr>
        <xdr:cNvPr id="42" name="Рисунок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11840308" y="1670538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</xdr:row>
      <xdr:rowOff>476250</xdr:rowOff>
    </xdr:from>
    <xdr:to>
      <xdr:col>10</xdr:col>
      <xdr:colOff>66</xdr:colOff>
      <xdr:row>6</xdr:row>
      <xdr:rowOff>66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1840308" y="2146788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</xdr:row>
      <xdr:rowOff>241788</xdr:rowOff>
    </xdr:from>
    <xdr:to>
      <xdr:col>14</xdr:col>
      <xdr:colOff>66</xdr:colOff>
      <xdr:row>2</xdr:row>
      <xdr:rowOff>474877</xdr:rowOff>
    </xdr:to>
    <xdr:pic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21526500" y="718038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</xdr:row>
      <xdr:rowOff>476250</xdr:rowOff>
    </xdr:from>
    <xdr:to>
      <xdr:col>14</xdr:col>
      <xdr:colOff>66</xdr:colOff>
      <xdr:row>4</xdr:row>
      <xdr:rowOff>66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21526500" y="1194288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</xdr:row>
      <xdr:rowOff>476250</xdr:rowOff>
    </xdr:from>
    <xdr:to>
      <xdr:col>10</xdr:col>
      <xdr:colOff>66</xdr:colOff>
      <xdr:row>7</xdr:row>
      <xdr:rowOff>66</xdr:rowOff>
    </xdr:to>
    <xdr:pic>
      <xdr:nvPicPr>
        <xdr:cNvPr id="46" name="Рисунок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1840308" y="2623038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</xdr:row>
      <xdr:rowOff>476250</xdr:rowOff>
    </xdr:from>
    <xdr:to>
      <xdr:col>10</xdr:col>
      <xdr:colOff>66</xdr:colOff>
      <xdr:row>8</xdr:row>
      <xdr:rowOff>66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11840308" y="3099288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0</xdr:col>
      <xdr:colOff>241788</xdr:colOff>
      <xdr:row>23</xdr:row>
      <xdr:rowOff>476250</xdr:rowOff>
    </xdr:from>
    <xdr:to>
      <xdr:col>2</xdr:col>
      <xdr:colOff>66</xdr:colOff>
      <xdr:row>25</xdr:row>
      <xdr:rowOff>66</xdr:rowOff>
    </xdr:to>
    <xdr:pic>
      <xdr:nvPicPr>
        <xdr:cNvPr id="48" name="Рисунок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241788" y="11195538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45</xdr:col>
      <xdr:colOff>0</xdr:colOff>
      <xdr:row>2</xdr:row>
      <xdr:rowOff>0</xdr:rowOff>
    </xdr:from>
    <xdr:to>
      <xdr:col>46</xdr:col>
      <xdr:colOff>66</xdr:colOff>
      <xdr:row>3</xdr:row>
      <xdr:rowOff>66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23450550" y="71437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4</xdr:row>
      <xdr:rowOff>0</xdr:rowOff>
    </xdr:from>
    <xdr:to>
      <xdr:col>18</xdr:col>
      <xdr:colOff>66</xdr:colOff>
      <xdr:row>5</xdr:row>
      <xdr:rowOff>66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13763625" y="166687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3</xdr:row>
      <xdr:rowOff>0</xdr:rowOff>
    </xdr:from>
    <xdr:to>
      <xdr:col>30</xdr:col>
      <xdr:colOff>66</xdr:colOff>
      <xdr:row>4</xdr:row>
      <xdr:rowOff>66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17630775" y="119062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3</xdr:row>
      <xdr:rowOff>0</xdr:rowOff>
    </xdr:from>
    <xdr:to>
      <xdr:col>26</xdr:col>
      <xdr:colOff>66</xdr:colOff>
      <xdr:row>4</xdr:row>
      <xdr:rowOff>66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5697200" y="119062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</xdr:row>
      <xdr:rowOff>0</xdr:rowOff>
    </xdr:from>
    <xdr:to>
      <xdr:col>14</xdr:col>
      <xdr:colOff>66</xdr:colOff>
      <xdr:row>5</xdr:row>
      <xdr:rowOff>66</xdr:rowOff>
    </xdr:to>
    <xdr:pic>
      <xdr:nvPicPr>
        <xdr:cNvPr id="54" name="Рисунок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21516975" y="166687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</xdr:row>
      <xdr:rowOff>0</xdr:rowOff>
    </xdr:from>
    <xdr:to>
      <xdr:col>14</xdr:col>
      <xdr:colOff>66</xdr:colOff>
      <xdr:row>6</xdr:row>
      <xdr:rowOff>66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1516975" y="2143125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3</xdr:row>
      <xdr:rowOff>0</xdr:rowOff>
    </xdr:from>
    <xdr:to>
      <xdr:col>34</xdr:col>
      <xdr:colOff>66</xdr:colOff>
      <xdr:row>4</xdr:row>
      <xdr:rowOff>66</xdr:rowOff>
    </xdr:to>
    <xdr:pic>
      <xdr:nvPicPr>
        <xdr:cNvPr id="56" name="Рисунок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6029325" y="1190625"/>
          <a:ext cx="476316" cy="4763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9525</xdr:rowOff>
        </xdr:from>
        <xdr:to>
          <xdr:col>0</xdr:col>
          <xdr:colOff>228600</xdr:colOff>
          <xdr:row>3</xdr:row>
          <xdr:rowOff>0</xdr:rowOff>
        </xdr:to>
        <xdr:sp macro="" textlink="">
          <xdr:nvSpPr>
            <xdr:cNvPr id="22529" name="Check Box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0</xdr:col>
          <xdr:colOff>228600</xdr:colOff>
          <xdr:row>4</xdr:row>
          <xdr:rowOff>0</xdr:rowOff>
        </xdr:to>
        <xdr:sp macro="" textlink="">
          <xdr:nvSpPr>
            <xdr:cNvPr id="22530" name="Check Box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4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9525</xdr:rowOff>
        </xdr:from>
        <xdr:to>
          <xdr:col>0</xdr:col>
          <xdr:colOff>228600</xdr:colOff>
          <xdr:row>5</xdr:row>
          <xdr:rowOff>0</xdr:rowOff>
        </xdr:to>
        <xdr:sp macro="" textlink="">
          <xdr:nvSpPr>
            <xdr:cNvPr id="22531" name="Check Box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4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9525</xdr:rowOff>
        </xdr:from>
        <xdr:to>
          <xdr:col>0</xdr:col>
          <xdr:colOff>228600</xdr:colOff>
          <xdr:row>6</xdr:row>
          <xdr:rowOff>0</xdr:rowOff>
        </xdr:to>
        <xdr:sp macro="" textlink="">
          <xdr:nvSpPr>
            <xdr:cNvPr id="22532" name="Check Box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4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</xdr:row>
          <xdr:rowOff>9525</xdr:rowOff>
        </xdr:from>
        <xdr:to>
          <xdr:col>0</xdr:col>
          <xdr:colOff>228600</xdr:colOff>
          <xdr:row>7</xdr:row>
          <xdr:rowOff>0</xdr:rowOff>
        </xdr:to>
        <xdr:sp macro="" textlink="">
          <xdr:nvSpPr>
            <xdr:cNvPr id="22533" name="Check Box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4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</xdr:row>
          <xdr:rowOff>9525</xdr:rowOff>
        </xdr:from>
        <xdr:to>
          <xdr:col>0</xdr:col>
          <xdr:colOff>228600</xdr:colOff>
          <xdr:row>8</xdr:row>
          <xdr:rowOff>0</xdr:rowOff>
        </xdr:to>
        <xdr:sp macro="" textlink="">
          <xdr:nvSpPr>
            <xdr:cNvPr id="22534" name="Check Box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4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9525</xdr:rowOff>
        </xdr:from>
        <xdr:to>
          <xdr:col>0</xdr:col>
          <xdr:colOff>228600</xdr:colOff>
          <xdr:row>9</xdr:row>
          <xdr:rowOff>0</xdr:rowOff>
        </xdr:to>
        <xdr:sp macro="" textlink="">
          <xdr:nvSpPr>
            <xdr:cNvPr id="22535" name="Check Box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4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</xdr:row>
          <xdr:rowOff>9525</xdr:rowOff>
        </xdr:from>
        <xdr:to>
          <xdr:col>0</xdr:col>
          <xdr:colOff>228600</xdr:colOff>
          <xdr:row>10</xdr:row>
          <xdr:rowOff>0</xdr:rowOff>
        </xdr:to>
        <xdr:sp macro="" textlink="">
          <xdr:nvSpPr>
            <xdr:cNvPr id="22536" name="Check Box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4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</xdr:row>
          <xdr:rowOff>9525</xdr:rowOff>
        </xdr:from>
        <xdr:to>
          <xdr:col>0</xdr:col>
          <xdr:colOff>228600</xdr:colOff>
          <xdr:row>11</xdr:row>
          <xdr:rowOff>0</xdr:rowOff>
        </xdr:to>
        <xdr:sp macro="" textlink="">
          <xdr:nvSpPr>
            <xdr:cNvPr id="22537" name="Check Box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4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9525</xdr:rowOff>
        </xdr:from>
        <xdr:to>
          <xdr:col>0</xdr:col>
          <xdr:colOff>228600</xdr:colOff>
          <xdr:row>12</xdr:row>
          <xdr:rowOff>0</xdr:rowOff>
        </xdr:to>
        <xdr:sp macro="" textlink="">
          <xdr:nvSpPr>
            <xdr:cNvPr id="22538" name="Check Box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4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</xdr:row>
          <xdr:rowOff>9525</xdr:rowOff>
        </xdr:from>
        <xdr:to>
          <xdr:col>0</xdr:col>
          <xdr:colOff>228600</xdr:colOff>
          <xdr:row>13</xdr:row>
          <xdr:rowOff>0</xdr:rowOff>
        </xdr:to>
        <xdr:sp macro="" textlink="">
          <xdr:nvSpPr>
            <xdr:cNvPr id="22539" name="Check Box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4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</xdr:row>
          <xdr:rowOff>9525</xdr:rowOff>
        </xdr:from>
        <xdr:to>
          <xdr:col>0</xdr:col>
          <xdr:colOff>228600</xdr:colOff>
          <xdr:row>14</xdr:row>
          <xdr:rowOff>0</xdr:rowOff>
        </xdr:to>
        <xdr:sp macro="" textlink="">
          <xdr:nvSpPr>
            <xdr:cNvPr id="22540" name="Check Box 12" hidden="1">
              <a:extLst>
                <a:ext uri="{63B3BB69-23CF-44E3-9099-C40C66FF867C}">
                  <a14:compatExt spid="_x0000_s22540"/>
                </a:ext>
                <a:ext uri="{FF2B5EF4-FFF2-40B4-BE49-F238E27FC236}">
                  <a16:creationId xmlns:a16="http://schemas.microsoft.com/office/drawing/2014/main" id="{00000000-0008-0000-0400-00000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</xdr:row>
          <xdr:rowOff>9525</xdr:rowOff>
        </xdr:from>
        <xdr:to>
          <xdr:col>0</xdr:col>
          <xdr:colOff>228600</xdr:colOff>
          <xdr:row>15</xdr:row>
          <xdr:rowOff>0</xdr:rowOff>
        </xdr:to>
        <xdr:sp macro="" textlink="">
          <xdr:nvSpPr>
            <xdr:cNvPr id="22541" name="Check Box 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4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</xdr:row>
          <xdr:rowOff>9525</xdr:rowOff>
        </xdr:from>
        <xdr:to>
          <xdr:col>0</xdr:col>
          <xdr:colOff>228600</xdr:colOff>
          <xdr:row>16</xdr:row>
          <xdr:rowOff>0</xdr:rowOff>
        </xdr:to>
        <xdr:sp macro="" textlink="">
          <xdr:nvSpPr>
            <xdr:cNvPr id="22542" name="Check Box 14" hidden="1">
              <a:extLst>
                <a:ext uri="{63B3BB69-23CF-44E3-9099-C40C66FF867C}">
                  <a14:compatExt spid="_x0000_s22542"/>
                </a:ext>
                <a:ext uri="{FF2B5EF4-FFF2-40B4-BE49-F238E27FC236}">
                  <a16:creationId xmlns:a16="http://schemas.microsoft.com/office/drawing/2014/main" id="{00000000-0008-0000-0400-00000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9525</xdr:rowOff>
        </xdr:from>
        <xdr:to>
          <xdr:col>0</xdr:col>
          <xdr:colOff>228600</xdr:colOff>
          <xdr:row>17</xdr:row>
          <xdr:rowOff>0</xdr:rowOff>
        </xdr:to>
        <xdr:sp macro="" textlink="">
          <xdr:nvSpPr>
            <xdr:cNvPr id="22543" name="Check Box 15" hidden="1">
              <a:extLst>
                <a:ext uri="{63B3BB69-23CF-44E3-9099-C40C66FF867C}">
                  <a14:compatExt spid="_x0000_s22543"/>
                </a:ext>
                <a:ext uri="{FF2B5EF4-FFF2-40B4-BE49-F238E27FC236}">
                  <a16:creationId xmlns:a16="http://schemas.microsoft.com/office/drawing/2014/main" id="{00000000-0008-0000-0400-00000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17</xdr:row>
          <xdr:rowOff>9525</xdr:rowOff>
        </xdr:from>
        <xdr:to>
          <xdr:col>0</xdr:col>
          <xdr:colOff>228600</xdr:colOff>
          <xdr:row>18</xdr:row>
          <xdr:rowOff>0</xdr:rowOff>
        </xdr:to>
        <xdr:sp macro="" textlink="">
          <xdr:nvSpPr>
            <xdr:cNvPr id="22544" name="Check Box 16" hidden="1">
              <a:extLst>
                <a:ext uri="{63B3BB69-23CF-44E3-9099-C40C66FF867C}">
                  <a14:compatExt spid="_x0000_s22544"/>
                </a:ext>
                <a:ext uri="{FF2B5EF4-FFF2-40B4-BE49-F238E27FC236}">
                  <a16:creationId xmlns:a16="http://schemas.microsoft.com/office/drawing/2014/main" id="{00000000-0008-0000-0400-00001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18</xdr:row>
          <xdr:rowOff>9525</xdr:rowOff>
        </xdr:from>
        <xdr:to>
          <xdr:col>0</xdr:col>
          <xdr:colOff>228600</xdr:colOff>
          <xdr:row>19</xdr:row>
          <xdr:rowOff>0</xdr:rowOff>
        </xdr:to>
        <xdr:sp macro="" textlink="">
          <xdr:nvSpPr>
            <xdr:cNvPr id="22545" name="Check Box 17" hidden="1">
              <a:extLst>
                <a:ext uri="{63B3BB69-23CF-44E3-9099-C40C66FF867C}">
                  <a14:compatExt spid="_x0000_s22545"/>
                </a:ext>
                <a:ext uri="{FF2B5EF4-FFF2-40B4-BE49-F238E27FC236}">
                  <a16:creationId xmlns:a16="http://schemas.microsoft.com/office/drawing/2014/main" id="{00000000-0008-0000-0400-00001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19</xdr:row>
          <xdr:rowOff>9525</xdr:rowOff>
        </xdr:from>
        <xdr:to>
          <xdr:col>0</xdr:col>
          <xdr:colOff>228600</xdr:colOff>
          <xdr:row>20</xdr:row>
          <xdr:rowOff>0</xdr:rowOff>
        </xdr:to>
        <xdr:sp macro="" textlink="">
          <xdr:nvSpPr>
            <xdr:cNvPr id="22546" name="Check Box 18" hidden="1">
              <a:extLst>
                <a:ext uri="{63B3BB69-23CF-44E3-9099-C40C66FF867C}">
                  <a14:compatExt spid="_x0000_s22546"/>
                </a:ext>
                <a:ext uri="{FF2B5EF4-FFF2-40B4-BE49-F238E27FC236}">
                  <a16:creationId xmlns:a16="http://schemas.microsoft.com/office/drawing/2014/main" id="{00000000-0008-0000-0400-00001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20</xdr:row>
          <xdr:rowOff>9525</xdr:rowOff>
        </xdr:from>
        <xdr:to>
          <xdr:col>0</xdr:col>
          <xdr:colOff>228600</xdr:colOff>
          <xdr:row>21</xdr:row>
          <xdr:rowOff>0</xdr:rowOff>
        </xdr:to>
        <xdr:sp macro="" textlink="">
          <xdr:nvSpPr>
            <xdr:cNvPr id="22547" name="Check Box 19" hidden="1">
              <a:extLst>
                <a:ext uri="{63B3BB69-23CF-44E3-9099-C40C66FF867C}">
                  <a14:compatExt spid="_x0000_s22547"/>
                </a:ext>
                <a:ext uri="{FF2B5EF4-FFF2-40B4-BE49-F238E27FC236}">
                  <a16:creationId xmlns:a16="http://schemas.microsoft.com/office/drawing/2014/main" id="{00000000-0008-0000-0400-00001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228600</xdr:colOff>
          <xdr:row>22</xdr:row>
          <xdr:rowOff>0</xdr:rowOff>
        </xdr:to>
        <xdr:sp macro="" textlink="">
          <xdr:nvSpPr>
            <xdr:cNvPr id="22548" name="Check Box 20" hidden="1">
              <a:extLst>
                <a:ext uri="{63B3BB69-23CF-44E3-9099-C40C66FF867C}">
                  <a14:compatExt spid="_x0000_s22548"/>
                </a:ext>
                <a:ext uri="{FF2B5EF4-FFF2-40B4-BE49-F238E27FC236}">
                  <a16:creationId xmlns:a16="http://schemas.microsoft.com/office/drawing/2014/main" id="{00000000-0008-0000-0400-00001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9525</xdr:rowOff>
        </xdr:from>
        <xdr:to>
          <xdr:col>0</xdr:col>
          <xdr:colOff>228600</xdr:colOff>
          <xdr:row>23</xdr:row>
          <xdr:rowOff>0</xdr:rowOff>
        </xdr:to>
        <xdr:sp macro="" textlink="">
          <xdr:nvSpPr>
            <xdr:cNvPr id="22549" name="Check Box 21" hidden="1">
              <a:extLst>
                <a:ext uri="{63B3BB69-23CF-44E3-9099-C40C66FF867C}">
                  <a14:compatExt spid="_x0000_s22549"/>
                </a:ext>
                <a:ext uri="{FF2B5EF4-FFF2-40B4-BE49-F238E27FC236}">
                  <a16:creationId xmlns:a16="http://schemas.microsoft.com/office/drawing/2014/main" id="{00000000-0008-0000-0400-00001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23</xdr:row>
          <xdr:rowOff>9525</xdr:rowOff>
        </xdr:from>
        <xdr:to>
          <xdr:col>0</xdr:col>
          <xdr:colOff>228600</xdr:colOff>
          <xdr:row>24</xdr:row>
          <xdr:rowOff>0</xdr:rowOff>
        </xdr:to>
        <xdr:sp macro="" textlink="">
          <xdr:nvSpPr>
            <xdr:cNvPr id="22550" name="Check Box 22" hidden="1">
              <a:extLst>
                <a:ext uri="{63B3BB69-23CF-44E3-9099-C40C66FF867C}">
                  <a14:compatExt spid="_x0000_s22550"/>
                </a:ext>
                <a:ext uri="{FF2B5EF4-FFF2-40B4-BE49-F238E27FC236}">
                  <a16:creationId xmlns:a16="http://schemas.microsoft.com/office/drawing/2014/main" id="{00000000-0008-0000-0400-00001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24</xdr:row>
          <xdr:rowOff>9525</xdr:rowOff>
        </xdr:from>
        <xdr:to>
          <xdr:col>0</xdr:col>
          <xdr:colOff>228600</xdr:colOff>
          <xdr:row>25</xdr:row>
          <xdr:rowOff>0</xdr:rowOff>
        </xdr:to>
        <xdr:sp macro="" textlink="">
          <xdr:nvSpPr>
            <xdr:cNvPr id="22551" name="Check Box 23" hidden="1">
              <a:extLst>
                <a:ext uri="{63B3BB69-23CF-44E3-9099-C40C66FF867C}">
                  <a14:compatExt spid="_x0000_s22551"/>
                </a:ext>
                <a:ext uri="{FF2B5EF4-FFF2-40B4-BE49-F238E27FC236}">
                  <a16:creationId xmlns:a16="http://schemas.microsoft.com/office/drawing/2014/main" id="{00000000-0008-0000-0400-00001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9525</xdr:rowOff>
        </xdr:from>
        <xdr:to>
          <xdr:col>4</xdr:col>
          <xdr:colOff>228600</xdr:colOff>
          <xdr:row>3</xdr:row>
          <xdr:rowOff>0</xdr:rowOff>
        </xdr:to>
        <xdr:sp macro="" textlink="">
          <xdr:nvSpPr>
            <xdr:cNvPr id="22552" name="Check Box 24" hidden="1">
              <a:extLst>
                <a:ext uri="{63B3BB69-23CF-44E3-9099-C40C66FF867C}">
                  <a14:compatExt spid="_x0000_s22552"/>
                </a:ext>
                <a:ext uri="{FF2B5EF4-FFF2-40B4-BE49-F238E27FC236}">
                  <a16:creationId xmlns:a16="http://schemas.microsoft.com/office/drawing/2014/main" id="{00000000-0008-0000-0400-00001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4</xdr:col>
          <xdr:colOff>228600</xdr:colOff>
          <xdr:row>4</xdr:row>
          <xdr:rowOff>0</xdr:rowOff>
        </xdr:to>
        <xdr:sp macro="" textlink="">
          <xdr:nvSpPr>
            <xdr:cNvPr id="22553" name="Check Box 25" hidden="1">
              <a:extLst>
                <a:ext uri="{63B3BB69-23CF-44E3-9099-C40C66FF867C}">
                  <a14:compatExt spid="_x0000_s22553"/>
                </a:ext>
                <a:ext uri="{FF2B5EF4-FFF2-40B4-BE49-F238E27FC236}">
                  <a16:creationId xmlns:a16="http://schemas.microsoft.com/office/drawing/2014/main" id="{00000000-0008-0000-0400-00001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</xdr:row>
          <xdr:rowOff>9525</xdr:rowOff>
        </xdr:from>
        <xdr:to>
          <xdr:col>4</xdr:col>
          <xdr:colOff>228600</xdr:colOff>
          <xdr:row>5</xdr:row>
          <xdr:rowOff>0</xdr:rowOff>
        </xdr:to>
        <xdr:sp macro="" textlink="">
          <xdr:nvSpPr>
            <xdr:cNvPr id="22554" name="Check Box 26" hidden="1">
              <a:extLst>
                <a:ext uri="{63B3BB69-23CF-44E3-9099-C40C66FF867C}">
                  <a14:compatExt spid="_x0000_s22554"/>
                </a:ext>
                <a:ext uri="{FF2B5EF4-FFF2-40B4-BE49-F238E27FC236}">
                  <a16:creationId xmlns:a16="http://schemas.microsoft.com/office/drawing/2014/main" id="{00000000-0008-0000-0400-00001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4</xdr:col>
          <xdr:colOff>228600</xdr:colOff>
          <xdr:row>6</xdr:row>
          <xdr:rowOff>0</xdr:rowOff>
        </xdr:to>
        <xdr:sp macro="" textlink="">
          <xdr:nvSpPr>
            <xdr:cNvPr id="22555" name="Check Box 27" hidden="1">
              <a:extLst>
                <a:ext uri="{63B3BB69-23CF-44E3-9099-C40C66FF867C}">
                  <a14:compatExt spid="_x0000_s22555"/>
                </a:ext>
                <a:ext uri="{FF2B5EF4-FFF2-40B4-BE49-F238E27FC236}">
                  <a16:creationId xmlns:a16="http://schemas.microsoft.com/office/drawing/2014/main" id="{00000000-0008-0000-0400-00001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9525</xdr:rowOff>
        </xdr:from>
        <xdr:to>
          <xdr:col>4</xdr:col>
          <xdr:colOff>228600</xdr:colOff>
          <xdr:row>7</xdr:row>
          <xdr:rowOff>0</xdr:rowOff>
        </xdr:to>
        <xdr:sp macro="" textlink="">
          <xdr:nvSpPr>
            <xdr:cNvPr id="22556" name="Check Box 28" hidden="1">
              <a:extLst>
                <a:ext uri="{63B3BB69-23CF-44E3-9099-C40C66FF867C}">
                  <a14:compatExt spid="_x0000_s22556"/>
                </a:ext>
                <a:ext uri="{FF2B5EF4-FFF2-40B4-BE49-F238E27FC236}">
                  <a16:creationId xmlns:a16="http://schemas.microsoft.com/office/drawing/2014/main" id="{00000000-0008-0000-0400-00001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228600</xdr:colOff>
          <xdr:row>8</xdr:row>
          <xdr:rowOff>0</xdr:rowOff>
        </xdr:to>
        <xdr:sp macro="" textlink="">
          <xdr:nvSpPr>
            <xdr:cNvPr id="22557" name="Check Box 29" hidden="1">
              <a:extLst>
                <a:ext uri="{63B3BB69-23CF-44E3-9099-C40C66FF867C}">
                  <a14:compatExt spid="_x0000_s22557"/>
                </a:ext>
                <a:ext uri="{FF2B5EF4-FFF2-40B4-BE49-F238E27FC236}">
                  <a16:creationId xmlns:a16="http://schemas.microsoft.com/office/drawing/2014/main" id="{00000000-0008-0000-0400-00001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228600</xdr:colOff>
          <xdr:row>8</xdr:row>
          <xdr:rowOff>0</xdr:rowOff>
        </xdr:to>
        <xdr:sp macro="" textlink="">
          <xdr:nvSpPr>
            <xdr:cNvPr id="22558" name="Check Box 30" hidden="1">
              <a:extLst>
                <a:ext uri="{63B3BB69-23CF-44E3-9099-C40C66FF867C}">
                  <a14:compatExt spid="_x0000_s22558"/>
                </a:ext>
                <a:ext uri="{FF2B5EF4-FFF2-40B4-BE49-F238E27FC236}">
                  <a16:creationId xmlns:a16="http://schemas.microsoft.com/office/drawing/2014/main" id="{00000000-0008-0000-0400-00001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9525</xdr:rowOff>
        </xdr:from>
        <xdr:to>
          <xdr:col>8</xdr:col>
          <xdr:colOff>228600</xdr:colOff>
          <xdr:row>7</xdr:row>
          <xdr:rowOff>0</xdr:rowOff>
        </xdr:to>
        <xdr:sp macro="" textlink="">
          <xdr:nvSpPr>
            <xdr:cNvPr id="22559" name="Check Box 31" hidden="1">
              <a:extLst>
                <a:ext uri="{63B3BB69-23CF-44E3-9099-C40C66FF867C}">
                  <a14:compatExt spid="_x0000_s22559"/>
                </a:ext>
                <a:ext uri="{FF2B5EF4-FFF2-40B4-BE49-F238E27FC236}">
                  <a16:creationId xmlns:a16="http://schemas.microsoft.com/office/drawing/2014/main" id="{00000000-0008-0000-0400-00001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</xdr:row>
          <xdr:rowOff>9525</xdr:rowOff>
        </xdr:from>
        <xdr:to>
          <xdr:col>8</xdr:col>
          <xdr:colOff>228600</xdr:colOff>
          <xdr:row>6</xdr:row>
          <xdr:rowOff>0</xdr:rowOff>
        </xdr:to>
        <xdr:sp macro="" textlink="">
          <xdr:nvSpPr>
            <xdr:cNvPr id="22560" name="Check Box 32" hidden="1">
              <a:extLst>
                <a:ext uri="{63B3BB69-23CF-44E3-9099-C40C66FF867C}">
                  <a14:compatExt spid="_x0000_s22560"/>
                </a:ext>
                <a:ext uri="{FF2B5EF4-FFF2-40B4-BE49-F238E27FC236}">
                  <a16:creationId xmlns:a16="http://schemas.microsoft.com/office/drawing/2014/main" id="{00000000-0008-0000-0400-00002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9525</xdr:rowOff>
        </xdr:from>
        <xdr:to>
          <xdr:col>8</xdr:col>
          <xdr:colOff>228600</xdr:colOff>
          <xdr:row>5</xdr:row>
          <xdr:rowOff>0</xdr:rowOff>
        </xdr:to>
        <xdr:sp macro="" textlink="">
          <xdr:nvSpPr>
            <xdr:cNvPr id="22561" name="Check Box 33" hidden="1">
              <a:extLst>
                <a:ext uri="{63B3BB69-23CF-44E3-9099-C40C66FF867C}">
                  <a14:compatExt spid="_x0000_s22561"/>
                </a:ext>
                <a:ext uri="{FF2B5EF4-FFF2-40B4-BE49-F238E27FC236}">
                  <a16:creationId xmlns:a16="http://schemas.microsoft.com/office/drawing/2014/main" id="{00000000-0008-0000-0400-00002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8</xdr:col>
          <xdr:colOff>228600</xdr:colOff>
          <xdr:row>4</xdr:row>
          <xdr:rowOff>0</xdr:rowOff>
        </xdr:to>
        <xdr:sp macro="" textlink="">
          <xdr:nvSpPr>
            <xdr:cNvPr id="22562" name="Check Box 34" hidden="1">
              <a:extLst>
                <a:ext uri="{63B3BB69-23CF-44E3-9099-C40C66FF867C}">
                  <a14:compatExt spid="_x0000_s22562"/>
                </a:ext>
                <a:ext uri="{FF2B5EF4-FFF2-40B4-BE49-F238E27FC236}">
                  <a16:creationId xmlns:a16="http://schemas.microsoft.com/office/drawing/2014/main" id="{00000000-0008-0000-0400-00002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</xdr:row>
          <xdr:rowOff>9525</xdr:rowOff>
        </xdr:from>
        <xdr:to>
          <xdr:col>8</xdr:col>
          <xdr:colOff>228600</xdr:colOff>
          <xdr:row>3</xdr:row>
          <xdr:rowOff>0</xdr:rowOff>
        </xdr:to>
        <xdr:sp macro="" textlink="">
          <xdr:nvSpPr>
            <xdr:cNvPr id="22563" name="Check Box 35" hidden="1">
              <a:extLst>
                <a:ext uri="{63B3BB69-23CF-44E3-9099-C40C66FF867C}">
                  <a14:compatExt spid="_x0000_s22563"/>
                </a:ext>
                <a:ext uri="{FF2B5EF4-FFF2-40B4-BE49-F238E27FC236}">
                  <a16:creationId xmlns:a16="http://schemas.microsoft.com/office/drawing/2014/main" id="{00000000-0008-0000-0400-00002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9525</xdr:rowOff>
        </xdr:from>
        <xdr:to>
          <xdr:col>12</xdr:col>
          <xdr:colOff>228600</xdr:colOff>
          <xdr:row>3</xdr:row>
          <xdr:rowOff>0</xdr:rowOff>
        </xdr:to>
        <xdr:sp macro="" textlink="">
          <xdr:nvSpPr>
            <xdr:cNvPr id="22564" name="Check Box 36" hidden="1">
              <a:extLst>
                <a:ext uri="{63B3BB69-23CF-44E3-9099-C40C66FF867C}">
                  <a14:compatExt spid="_x0000_s22564"/>
                </a:ext>
                <a:ext uri="{FF2B5EF4-FFF2-40B4-BE49-F238E27FC236}">
                  <a16:creationId xmlns:a16="http://schemas.microsoft.com/office/drawing/2014/main" id="{00000000-0008-0000-0400-00002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3</xdr:row>
          <xdr:rowOff>9525</xdr:rowOff>
        </xdr:from>
        <xdr:to>
          <xdr:col>12</xdr:col>
          <xdr:colOff>228600</xdr:colOff>
          <xdr:row>4</xdr:row>
          <xdr:rowOff>0</xdr:rowOff>
        </xdr:to>
        <xdr:sp macro="" textlink="">
          <xdr:nvSpPr>
            <xdr:cNvPr id="22565" name="Check Box 37" hidden="1">
              <a:extLst>
                <a:ext uri="{63B3BB69-23CF-44E3-9099-C40C66FF867C}">
                  <a14:compatExt spid="_x0000_s22565"/>
                </a:ext>
                <a:ext uri="{FF2B5EF4-FFF2-40B4-BE49-F238E27FC236}">
                  <a16:creationId xmlns:a16="http://schemas.microsoft.com/office/drawing/2014/main" id="{00000000-0008-0000-0400-00002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4</xdr:row>
          <xdr:rowOff>9525</xdr:rowOff>
        </xdr:from>
        <xdr:to>
          <xdr:col>12</xdr:col>
          <xdr:colOff>228600</xdr:colOff>
          <xdr:row>5</xdr:row>
          <xdr:rowOff>0</xdr:rowOff>
        </xdr:to>
        <xdr:sp macro="" textlink="">
          <xdr:nvSpPr>
            <xdr:cNvPr id="22566" name="Check Box 38" hidden="1">
              <a:extLst>
                <a:ext uri="{63B3BB69-23CF-44E3-9099-C40C66FF867C}">
                  <a14:compatExt spid="_x0000_s22566"/>
                </a:ext>
                <a:ext uri="{FF2B5EF4-FFF2-40B4-BE49-F238E27FC236}">
                  <a16:creationId xmlns:a16="http://schemas.microsoft.com/office/drawing/2014/main" id="{00000000-0008-0000-0400-00002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5</xdr:row>
          <xdr:rowOff>9525</xdr:rowOff>
        </xdr:from>
        <xdr:to>
          <xdr:col>12</xdr:col>
          <xdr:colOff>228600</xdr:colOff>
          <xdr:row>6</xdr:row>
          <xdr:rowOff>0</xdr:rowOff>
        </xdr:to>
        <xdr:sp macro="" textlink="">
          <xdr:nvSpPr>
            <xdr:cNvPr id="22567" name="Check Box 39" hidden="1">
              <a:extLst>
                <a:ext uri="{63B3BB69-23CF-44E3-9099-C40C66FF867C}">
                  <a14:compatExt spid="_x0000_s22567"/>
                </a:ext>
                <a:ext uri="{FF2B5EF4-FFF2-40B4-BE49-F238E27FC236}">
                  <a16:creationId xmlns:a16="http://schemas.microsoft.com/office/drawing/2014/main" id="{00000000-0008-0000-0400-00002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2</xdr:row>
          <xdr:rowOff>9525</xdr:rowOff>
        </xdr:from>
        <xdr:to>
          <xdr:col>16</xdr:col>
          <xdr:colOff>228600</xdr:colOff>
          <xdr:row>3</xdr:row>
          <xdr:rowOff>0</xdr:rowOff>
        </xdr:to>
        <xdr:sp macro="" textlink="">
          <xdr:nvSpPr>
            <xdr:cNvPr id="22568" name="Check Box 40" hidden="1">
              <a:extLst>
                <a:ext uri="{63B3BB69-23CF-44E3-9099-C40C66FF867C}">
                  <a14:compatExt spid="_x0000_s22568"/>
                </a:ext>
                <a:ext uri="{FF2B5EF4-FFF2-40B4-BE49-F238E27FC236}">
                  <a16:creationId xmlns:a16="http://schemas.microsoft.com/office/drawing/2014/main" id="{00000000-0008-0000-0400-00002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9525</xdr:rowOff>
        </xdr:from>
        <xdr:to>
          <xdr:col>16</xdr:col>
          <xdr:colOff>228600</xdr:colOff>
          <xdr:row>4</xdr:row>
          <xdr:rowOff>0</xdr:rowOff>
        </xdr:to>
        <xdr:sp macro="" textlink="">
          <xdr:nvSpPr>
            <xdr:cNvPr id="22569" name="Check Box 41" hidden="1">
              <a:extLst>
                <a:ext uri="{63B3BB69-23CF-44E3-9099-C40C66FF867C}">
                  <a14:compatExt spid="_x0000_s22569"/>
                </a:ext>
                <a:ext uri="{FF2B5EF4-FFF2-40B4-BE49-F238E27FC236}">
                  <a16:creationId xmlns:a16="http://schemas.microsoft.com/office/drawing/2014/main" id="{00000000-0008-0000-0400-00002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9525</xdr:rowOff>
        </xdr:from>
        <xdr:to>
          <xdr:col>16</xdr:col>
          <xdr:colOff>228600</xdr:colOff>
          <xdr:row>5</xdr:row>
          <xdr:rowOff>0</xdr:rowOff>
        </xdr:to>
        <xdr:sp macro="" textlink="">
          <xdr:nvSpPr>
            <xdr:cNvPr id="22570" name="Check Box 42" hidden="1">
              <a:extLst>
                <a:ext uri="{63B3BB69-23CF-44E3-9099-C40C66FF867C}">
                  <a14:compatExt spid="_x0000_s22570"/>
                </a:ext>
                <a:ext uri="{FF2B5EF4-FFF2-40B4-BE49-F238E27FC236}">
                  <a16:creationId xmlns:a16="http://schemas.microsoft.com/office/drawing/2014/main" id="{00000000-0008-0000-0400-00002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</xdr:colOff>
          <xdr:row>2</xdr:row>
          <xdr:rowOff>9525</xdr:rowOff>
        </xdr:from>
        <xdr:to>
          <xdr:col>20</xdr:col>
          <xdr:colOff>228600</xdr:colOff>
          <xdr:row>3</xdr:row>
          <xdr:rowOff>0</xdr:rowOff>
        </xdr:to>
        <xdr:sp macro="" textlink="">
          <xdr:nvSpPr>
            <xdr:cNvPr id="22571" name="Check Box 43" hidden="1">
              <a:extLst>
                <a:ext uri="{63B3BB69-23CF-44E3-9099-C40C66FF867C}">
                  <a14:compatExt spid="_x0000_s22571"/>
                </a:ext>
                <a:ext uri="{FF2B5EF4-FFF2-40B4-BE49-F238E27FC236}">
                  <a16:creationId xmlns:a16="http://schemas.microsoft.com/office/drawing/2014/main" id="{00000000-0008-0000-0400-00002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</xdr:colOff>
          <xdr:row>3</xdr:row>
          <xdr:rowOff>9525</xdr:rowOff>
        </xdr:from>
        <xdr:to>
          <xdr:col>20</xdr:col>
          <xdr:colOff>228600</xdr:colOff>
          <xdr:row>4</xdr:row>
          <xdr:rowOff>0</xdr:rowOff>
        </xdr:to>
        <xdr:sp macro="" textlink="">
          <xdr:nvSpPr>
            <xdr:cNvPr id="22572" name="Check Box 44" hidden="1">
              <a:extLst>
                <a:ext uri="{63B3BB69-23CF-44E3-9099-C40C66FF867C}">
                  <a14:compatExt spid="_x0000_s22572"/>
                </a:ext>
                <a:ext uri="{FF2B5EF4-FFF2-40B4-BE49-F238E27FC236}">
                  <a16:creationId xmlns:a16="http://schemas.microsoft.com/office/drawing/2014/main" id="{00000000-0008-0000-0400-00002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2</xdr:row>
          <xdr:rowOff>9525</xdr:rowOff>
        </xdr:from>
        <xdr:to>
          <xdr:col>24</xdr:col>
          <xdr:colOff>228600</xdr:colOff>
          <xdr:row>3</xdr:row>
          <xdr:rowOff>0</xdr:rowOff>
        </xdr:to>
        <xdr:sp macro="" textlink="">
          <xdr:nvSpPr>
            <xdr:cNvPr id="22573" name="Check Box 45" hidden="1">
              <a:extLst>
                <a:ext uri="{63B3BB69-23CF-44E3-9099-C40C66FF867C}">
                  <a14:compatExt spid="_x0000_s22573"/>
                </a:ext>
                <a:ext uri="{FF2B5EF4-FFF2-40B4-BE49-F238E27FC236}">
                  <a16:creationId xmlns:a16="http://schemas.microsoft.com/office/drawing/2014/main" id="{00000000-0008-0000-0400-00002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3</xdr:row>
          <xdr:rowOff>9525</xdr:rowOff>
        </xdr:from>
        <xdr:to>
          <xdr:col>24</xdr:col>
          <xdr:colOff>228600</xdr:colOff>
          <xdr:row>4</xdr:row>
          <xdr:rowOff>0</xdr:rowOff>
        </xdr:to>
        <xdr:sp macro="" textlink="">
          <xdr:nvSpPr>
            <xdr:cNvPr id="22574" name="Check Box 46" hidden="1">
              <a:extLst>
                <a:ext uri="{63B3BB69-23CF-44E3-9099-C40C66FF867C}">
                  <a14:compatExt spid="_x0000_s22574"/>
                </a:ext>
                <a:ext uri="{FF2B5EF4-FFF2-40B4-BE49-F238E27FC236}">
                  <a16:creationId xmlns:a16="http://schemas.microsoft.com/office/drawing/2014/main" id="{00000000-0008-0000-0400-00002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</xdr:row>
          <xdr:rowOff>9525</xdr:rowOff>
        </xdr:from>
        <xdr:to>
          <xdr:col>28</xdr:col>
          <xdr:colOff>228600</xdr:colOff>
          <xdr:row>3</xdr:row>
          <xdr:rowOff>0</xdr:rowOff>
        </xdr:to>
        <xdr:sp macro="" textlink="">
          <xdr:nvSpPr>
            <xdr:cNvPr id="22575" name="Check Box 47" hidden="1">
              <a:extLst>
                <a:ext uri="{63B3BB69-23CF-44E3-9099-C40C66FF867C}">
                  <a14:compatExt spid="_x0000_s22575"/>
                </a:ext>
                <a:ext uri="{FF2B5EF4-FFF2-40B4-BE49-F238E27FC236}">
                  <a16:creationId xmlns:a16="http://schemas.microsoft.com/office/drawing/2014/main" id="{00000000-0008-0000-0400-00002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3</xdr:row>
          <xdr:rowOff>9525</xdr:rowOff>
        </xdr:from>
        <xdr:to>
          <xdr:col>28</xdr:col>
          <xdr:colOff>228600</xdr:colOff>
          <xdr:row>4</xdr:row>
          <xdr:rowOff>0</xdr:rowOff>
        </xdr:to>
        <xdr:sp macro="" textlink="">
          <xdr:nvSpPr>
            <xdr:cNvPr id="22576" name="Check Box 48" hidden="1">
              <a:extLst>
                <a:ext uri="{63B3BB69-23CF-44E3-9099-C40C66FF867C}">
                  <a14:compatExt spid="_x0000_s22576"/>
                </a:ext>
                <a:ext uri="{FF2B5EF4-FFF2-40B4-BE49-F238E27FC236}">
                  <a16:creationId xmlns:a16="http://schemas.microsoft.com/office/drawing/2014/main" id="{00000000-0008-0000-0400-00003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2</xdr:row>
          <xdr:rowOff>9525</xdr:rowOff>
        </xdr:from>
        <xdr:to>
          <xdr:col>32</xdr:col>
          <xdr:colOff>228600</xdr:colOff>
          <xdr:row>3</xdr:row>
          <xdr:rowOff>0</xdr:rowOff>
        </xdr:to>
        <xdr:sp macro="" textlink="">
          <xdr:nvSpPr>
            <xdr:cNvPr id="22577" name="Check Box 49" hidden="1">
              <a:extLst>
                <a:ext uri="{63B3BB69-23CF-44E3-9099-C40C66FF867C}">
                  <a14:compatExt spid="_x0000_s22577"/>
                </a:ext>
                <a:ext uri="{FF2B5EF4-FFF2-40B4-BE49-F238E27FC236}">
                  <a16:creationId xmlns:a16="http://schemas.microsoft.com/office/drawing/2014/main" id="{00000000-0008-0000-0400-00003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</xdr:row>
          <xdr:rowOff>9525</xdr:rowOff>
        </xdr:from>
        <xdr:to>
          <xdr:col>32</xdr:col>
          <xdr:colOff>228600</xdr:colOff>
          <xdr:row>4</xdr:row>
          <xdr:rowOff>0</xdr:rowOff>
        </xdr:to>
        <xdr:sp macro="" textlink="">
          <xdr:nvSpPr>
            <xdr:cNvPr id="22578" name="Check Box 50" hidden="1">
              <a:extLst>
                <a:ext uri="{63B3BB69-23CF-44E3-9099-C40C66FF867C}">
                  <a14:compatExt spid="_x0000_s22578"/>
                </a:ext>
                <a:ext uri="{FF2B5EF4-FFF2-40B4-BE49-F238E27FC236}">
                  <a16:creationId xmlns:a16="http://schemas.microsoft.com/office/drawing/2014/main" id="{00000000-0008-0000-0400-00003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</xdr:colOff>
          <xdr:row>2</xdr:row>
          <xdr:rowOff>9525</xdr:rowOff>
        </xdr:from>
        <xdr:to>
          <xdr:col>36</xdr:col>
          <xdr:colOff>228600</xdr:colOff>
          <xdr:row>3</xdr:row>
          <xdr:rowOff>0</xdr:rowOff>
        </xdr:to>
        <xdr:sp macro="" textlink="">
          <xdr:nvSpPr>
            <xdr:cNvPr id="22579" name="Check Box 51" hidden="1">
              <a:extLst>
                <a:ext uri="{63B3BB69-23CF-44E3-9099-C40C66FF867C}">
                  <a14:compatExt spid="_x0000_s22579"/>
                </a:ext>
                <a:ext uri="{FF2B5EF4-FFF2-40B4-BE49-F238E27FC236}">
                  <a16:creationId xmlns:a16="http://schemas.microsoft.com/office/drawing/2014/main" id="{00000000-0008-0000-0400-00003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9525</xdr:colOff>
          <xdr:row>2</xdr:row>
          <xdr:rowOff>9525</xdr:rowOff>
        </xdr:from>
        <xdr:to>
          <xdr:col>40</xdr:col>
          <xdr:colOff>228600</xdr:colOff>
          <xdr:row>3</xdr:row>
          <xdr:rowOff>0</xdr:rowOff>
        </xdr:to>
        <xdr:sp macro="" textlink="">
          <xdr:nvSpPr>
            <xdr:cNvPr id="22580" name="Check Box 52" hidden="1">
              <a:extLst>
                <a:ext uri="{63B3BB69-23CF-44E3-9099-C40C66FF867C}">
                  <a14:compatExt spid="_x0000_s22580"/>
                </a:ext>
                <a:ext uri="{FF2B5EF4-FFF2-40B4-BE49-F238E27FC236}">
                  <a16:creationId xmlns:a16="http://schemas.microsoft.com/office/drawing/2014/main" id="{00000000-0008-0000-0400-00003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9525</xdr:colOff>
          <xdr:row>2</xdr:row>
          <xdr:rowOff>9525</xdr:rowOff>
        </xdr:from>
        <xdr:to>
          <xdr:col>44</xdr:col>
          <xdr:colOff>228600</xdr:colOff>
          <xdr:row>3</xdr:row>
          <xdr:rowOff>0</xdr:rowOff>
        </xdr:to>
        <xdr:sp macro="" textlink="">
          <xdr:nvSpPr>
            <xdr:cNvPr id="22581" name="Check Box 53" hidden="1">
              <a:extLst>
                <a:ext uri="{63B3BB69-23CF-44E3-9099-C40C66FF867C}">
                  <a14:compatExt spid="_x0000_s22581"/>
                </a:ext>
                <a:ext uri="{FF2B5EF4-FFF2-40B4-BE49-F238E27FC236}">
                  <a16:creationId xmlns:a16="http://schemas.microsoft.com/office/drawing/2014/main" id="{00000000-0008-0000-0400-00003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</xdr:colOff>
          <xdr:row>3</xdr:row>
          <xdr:rowOff>9525</xdr:rowOff>
        </xdr:from>
        <xdr:to>
          <xdr:col>36</xdr:col>
          <xdr:colOff>228600</xdr:colOff>
          <xdr:row>4</xdr:row>
          <xdr:rowOff>0</xdr:rowOff>
        </xdr:to>
        <xdr:sp macro="" textlink="">
          <xdr:nvSpPr>
            <xdr:cNvPr id="22582" name="Check Box 54" hidden="1">
              <a:extLst>
                <a:ext uri="{63B3BB69-23CF-44E3-9099-C40C66FF867C}">
                  <a14:compatExt spid="_x0000_s22582"/>
                </a:ext>
                <a:ext uri="{FF2B5EF4-FFF2-40B4-BE49-F238E27FC236}">
                  <a16:creationId xmlns:a16="http://schemas.microsoft.com/office/drawing/2014/main" id="{00000000-0008-0000-0400-00003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9525</xdr:rowOff>
        </xdr:from>
        <xdr:to>
          <xdr:col>2</xdr:col>
          <xdr:colOff>600075</xdr:colOff>
          <xdr:row>1</xdr:row>
          <xdr:rowOff>228600</xdr:rowOff>
        </xdr:to>
        <xdr:sp macro="" textlink="">
          <xdr:nvSpPr>
            <xdr:cNvPr id="22583" name="Button 55" descr="кнопка 1" hidden="1">
              <a:extLst>
                <a:ext uri="{63B3BB69-23CF-44E3-9099-C40C66FF867C}">
                  <a14:compatExt spid="_x0000_s22583"/>
                </a:ext>
                <a:ext uri="{FF2B5EF4-FFF2-40B4-BE49-F238E27FC236}">
                  <a16:creationId xmlns:a16="http://schemas.microsoft.com/office/drawing/2014/main" id="{00000000-0008-0000-0400-00003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33333"/>
                  </a:solidFill>
                  <a:latin typeface="Tahoma"/>
                  <a:ea typeface="Tahoma"/>
                  <a:cs typeface="Tahoma"/>
                </a:rPr>
                <a:t>Вкл.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</xdr:row>
          <xdr:rowOff>9525</xdr:rowOff>
        </xdr:from>
        <xdr:to>
          <xdr:col>3</xdr:col>
          <xdr:colOff>600075</xdr:colOff>
          <xdr:row>1</xdr:row>
          <xdr:rowOff>228600</xdr:rowOff>
        </xdr:to>
        <xdr:sp macro="" textlink="">
          <xdr:nvSpPr>
            <xdr:cNvPr id="22621" name="Button 93" descr="кнопка 1" hidden="1">
              <a:extLst>
                <a:ext uri="{63B3BB69-23CF-44E3-9099-C40C66FF867C}">
                  <a14:compatExt spid="_x0000_s22621"/>
                </a:ext>
                <a:ext uri="{FF2B5EF4-FFF2-40B4-BE49-F238E27FC236}">
                  <a16:creationId xmlns:a16="http://schemas.microsoft.com/office/drawing/2014/main" id="{00000000-0008-0000-0400-00005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33333"/>
                  </a:solidFill>
                  <a:latin typeface="Tahoma"/>
                  <a:ea typeface="Tahoma"/>
                  <a:cs typeface="Tahoma"/>
                </a:rPr>
                <a:t>Выкл.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</xdr:row>
          <xdr:rowOff>0</xdr:rowOff>
        </xdr:from>
        <xdr:to>
          <xdr:col>7</xdr:col>
          <xdr:colOff>600075</xdr:colOff>
          <xdr:row>1</xdr:row>
          <xdr:rowOff>228600</xdr:rowOff>
        </xdr:to>
        <xdr:sp macro="" textlink="">
          <xdr:nvSpPr>
            <xdr:cNvPr id="22624" name="Button 96" descr="кнопка 1" hidden="1">
              <a:extLst>
                <a:ext uri="{63B3BB69-23CF-44E3-9099-C40C66FF867C}">
                  <a14:compatExt spid="_x0000_s22624"/>
                </a:ext>
                <a:ext uri="{FF2B5EF4-FFF2-40B4-BE49-F238E27FC236}">
                  <a16:creationId xmlns:a16="http://schemas.microsoft.com/office/drawing/2014/main" id="{00000000-0008-0000-0400-00006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33333"/>
                  </a:solidFill>
                  <a:latin typeface="Tahoma"/>
                  <a:ea typeface="Tahoma"/>
                  <a:cs typeface="Tahoma"/>
                </a:rPr>
                <a:t>Выкл.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</xdr:row>
          <xdr:rowOff>9525</xdr:rowOff>
        </xdr:from>
        <xdr:to>
          <xdr:col>6</xdr:col>
          <xdr:colOff>600075</xdr:colOff>
          <xdr:row>1</xdr:row>
          <xdr:rowOff>228600</xdr:rowOff>
        </xdr:to>
        <xdr:sp macro="" textlink="">
          <xdr:nvSpPr>
            <xdr:cNvPr id="22625" name="Button 97" descr="кнопка 1" hidden="1">
              <a:extLst>
                <a:ext uri="{63B3BB69-23CF-44E3-9099-C40C66FF867C}">
                  <a14:compatExt spid="_x0000_s22625"/>
                </a:ext>
                <a:ext uri="{FF2B5EF4-FFF2-40B4-BE49-F238E27FC236}">
                  <a16:creationId xmlns:a16="http://schemas.microsoft.com/office/drawing/2014/main" id="{00000000-0008-0000-0400-00006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33333"/>
                  </a:solidFill>
                  <a:latin typeface="Tahoma"/>
                  <a:ea typeface="Tahoma"/>
                  <a:cs typeface="Tahoma"/>
                </a:rPr>
                <a:t>Вкл.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</xdr:row>
          <xdr:rowOff>9525</xdr:rowOff>
        </xdr:from>
        <xdr:to>
          <xdr:col>10</xdr:col>
          <xdr:colOff>600075</xdr:colOff>
          <xdr:row>1</xdr:row>
          <xdr:rowOff>228600</xdr:rowOff>
        </xdr:to>
        <xdr:sp macro="" textlink="">
          <xdr:nvSpPr>
            <xdr:cNvPr id="22626" name="Button 98" descr="кнопка 1" hidden="1">
              <a:extLst>
                <a:ext uri="{63B3BB69-23CF-44E3-9099-C40C66FF867C}">
                  <a14:compatExt spid="_x0000_s22626"/>
                </a:ext>
                <a:ext uri="{FF2B5EF4-FFF2-40B4-BE49-F238E27FC236}">
                  <a16:creationId xmlns:a16="http://schemas.microsoft.com/office/drawing/2014/main" id="{00000000-0008-0000-0400-00006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33333"/>
                  </a:solidFill>
                  <a:latin typeface="Tahoma"/>
                  <a:ea typeface="Tahoma"/>
                  <a:cs typeface="Tahoma"/>
                </a:rPr>
                <a:t>Вкл.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</xdr:row>
          <xdr:rowOff>9525</xdr:rowOff>
        </xdr:from>
        <xdr:to>
          <xdr:col>14</xdr:col>
          <xdr:colOff>600075</xdr:colOff>
          <xdr:row>1</xdr:row>
          <xdr:rowOff>228600</xdr:rowOff>
        </xdr:to>
        <xdr:sp macro="" textlink="">
          <xdr:nvSpPr>
            <xdr:cNvPr id="22627" name="Button 99" descr="кнопка 1" hidden="1">
              <a:extLst>
                <a:ext uri="{63B3BB69-23CF-44E3-9099-C40C66FF867C}">
                  <a14:compatExt spid="_x0000_s22627"/>
                </a:ext>
                <a:ext uri="{FF2B5EF4-FFF2-40B4-BE49-F238E27FC236}">
                  <a16:creationId xmlns:a16="http://schemas.microsoft.com/office/drawing/2014/main" id="{00000000-0008-0000-0400-00006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33333"/>
                  </a:solidFill>
                  <a:latin typeface="Tahoma"/>
                  <a:ea typeface="Tahoma"/>
                  <a:cs typeface="Tahoma"/>
                </a:rPr>
                <a:t>Вкл.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</xdr:row>
          <xdr:rowOff>9525</xdr:rowOff>
        </xdr:from>
        <xdr:to>
          <xdr:col>18</xdr:col>
          <xdr:colOff>600075</xdr:colOff>
          <xdr:row>1</xdr:row>
          <xdr:rowOff>228600</xdr:rowOff>
        </xdr:to>
        <xdr:sp macro="" textlink="">
          <xdr:nvSpPr>
            <xdr:cNvPr id="22628" name="Button 100" descr="кнопка 1" hidden="1">
              <a:extLst>
                <a:ext uri="{63B3BB69-23CF-44E3-9099-C40C66FF867C}">
                  <a14:compatExt spid="_x0000_s22628"/>
                </a:ext>
                <a:ext uri="{FF2B5EF4-FFF2-40B4-BE49-F238E27FC236}">
                  <a16:creationId xmlns:a16="http://schemas.microsoft.com/office/drawing/2014/main" id="{00000000-0008-0000-0400-00006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33333"/>
                  </a:solidFill>
                  <a:latin typeface="Tahoma"/>
                  <a:ea typeface="Tahoma"/>
                  <a:cs typeface="Tahoma"/>
                </a:rPr>
                <a:t>Вкл.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9525</xdr:rowOff>
        </xdr:from>
        <xdr:to>
          <xdr:col>22</xdr:col>
          <xdr:colOff>600075</xdr:colOff>
          <xdr:row>1</xdr:row>
          <xdr:rowOff>228600</xdr:rowOff>
        </xdr:to>
        <xdr:sp macro="" textlink="">
          <xdr:nvSpPr>
            <xdr:cNvPr id="22629" name="Button 101" descr="кнопка 1" hidden="1">
              <a:extLst>
                <a:ext uri="{63B3BB69-23CF-44E3-9099-C40C66FF867C}">
                  <a14:compatExt spid="_x0000_s22629"/>
                </a:ext>
                <a:ext uri="{FF2B5EF4-FFF2-40B4-BE49-F238E27FC236}">
                  <a16:creationId xmlns:a16="http://schemas.microsoft.com/office/drawing/2014/main" id="{00000000-0008-0000-0400-00006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33333"/>
                  </a:solidFill>
                  <a:latin typeface="Tahoma"/>
                  <a:ea typeface="Tahoma"/>
                  <a:cs typeface="Tahoma"/>
                </a:rPr>
                <a:t>Вкл.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</xdr:row>
          <xdr:rowOff>9525</xdr:rowOff>
        </xdr:from>
        <xdr:to>
          <xdr:col>26</xdr:col>
          <xdr:colOff>600075</xdr:colOff>
          <xdr:row>1</xdr:row>
          <xdr:rowOff>228600</xdr:rowOff>
        </xdr:to>
        <xdr:sp macro="" textlink="">
          <xdr:nvSpPr>
            <xdr:cNvPr id="22630" name="Button 102" descr="кнопка 1" hidden="1">
              <a:extLst>
                <a:ext uri="{63B3BB69-23CF-44E3-9099-C40C66FF867C}">
                  <a14:compatExt spid="_x0000_s22630"/>
                </a:ext>
                <a:ext uri="{FF2B5EF4-FFF2-40B4-BE49-F238E27FC236}">
                  <a16:creationId xmlns:a16="http://schemas.microsoft.com/office/drawing/2014/main" id="{00000000-0008-0000-0400-00006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33333"/>
                  </a:solidFill>
                  <a:latin typeface="Tahoma"/>
                  <a:ea typeface="Tahoma"/>
                  <a:cs typeface="Tahoma"/>
                </a:rPr>
                <a:t>Вкл.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1</xdr:row>
          <xdr:rowOff>9525</xdr:rowOff>
        </xdr:from>
        <xdr:to>
          <xdr:col>30</xdr:col>
          <xdr:colOff>600075</xdr:colOff>
          <xdr:row>1</xdr:row>
          <xdr:rowOff>228600</xdr:rowOff>
        </xdr:to>
        <xdr:sp macro="" textlink="">
          <xdr:nvSpPr>
            <xdr:cNvPr id="22631" name="Button 103" descr="кнопка 1" hidden="1">
              <a:extLst>
                <a:ext uri="{63B3BB69-23CF-44E3-9099-C40C66FF867C}">
                  <a14:compatExt spid="_x0000_s22631"/>
                </a:ext>
                <a:ext uri="{FF2B5EF4-FFF2-40B4-BE49-F238E27FC236}">
                  <a16:creationId xmlns:a16="http://schemas.microsoft.com/office/drawing/2014/main" id="{00000000-0008-0000-0400-00006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33333"/>
                  </a:solidFill>
                  <a:latin typeface="Tahoma"/>
                  <a:ea typeface="Tahoma"/>
                  <a:cs typeface="Tahoma"/>
                </a:rPr>
                <a:t>Вкл.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9525</xdr:colOff>
          <xdr:row>1</xdr:row>
          <xdr:rowOff>9525</xdr:rowOff>
        </xdr:from>
        <xdr:to>
          <xdr:col>34</xdr:col>
          <xdr:colOff>600075</xdr:colOff>
          <xdr:row>1</xdr:row>
          <xdr:rowOff>228600</xdr:rowOff>
        </xdr:to>
        <xdr:sp macro="" textlink="">
          <xdr:nvSpPr>
            <xdr:cNvPr id="22632" name="Button 104" descr="кнопка 1" hidden="1">
              <a:extLst>
                <a:ext uri="{63B3BB69-23CF-44E3-9099-C40C66FF867C}">
                  <a14:compatExt spid="_x0000_s22632"/>
                </a:ext>
                <a:ext uri="{FF2B5EF4-FFF2-40B4-BE49-F238E27FC236}">
                  <a16:creationId xmlns:a16="http://schemas.microsoft.com/office/drawing/2014/main" id="{00000000-0008-0000-0400-00006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33333"/>
                  </a:solidFill>
                  <a:latin typeface="Tahoma"/>
                  <a:ea typeface="Tahoma"/>
                  <a:cs typeface="Tahoma"/>
                </a:rPr>
                <a:t>Вкл.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</xdr:row>
          <xdr:rowOff>9525</xdr:rowOff>
        </xdr:from>
        <xdr:to>
          <xdr:col>38</xdr:col>
          <xdr:colOff>600075</xdr:colOff>
          <xdr:row>1</xdr:row>
          <xdr:rowOff>228600</xdr:rowOff>
        </xdr:to>
        <xdr:sp macro="" textlink="">
          <xdr:nvSpPr>
            <xdr:cNvPr id="22633" name="Button 105" descr="кнопка 1" hidden="1">
              <a:extLst>
                <a:ext uri="{63B3BB69-23CF-44E3-9099-C40C66FF867C}">
                  <a14:compatExt spid="_x0000_s22633"/>
                </a:ext>
                <a:ext uri="{FF2B5EF4-FFF2-40B4-BE49-F238E27FC236}">
                  <a16:creationId xmlns:a16="http://schemas.microsoft.com/office/drawing/2014/main" id="{00000000-0008-0000-0400-00006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33333"/>
                  </a:solidFill>
                  <a:latin typeface="Tahoma"/>
                  <a:ea typeface="Tahoma"/>
                  <a:cs typeface="Tahoma"/>
                </a:rPr>
                <a:t>Вкл.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</xdr:row>
          <xdr:rowOff>9525</xdr:rowOff>
        </xdr:from>
        <xdr:to>
          <xdr:col>42</xdr:col>
          <xdr:colOff>600075</xdr:colOff>
          <xdr:row>1</xdr:row>
          <xdr:rowOff>228600</xdr:rowOff>
        </xdr:to>
        <xdr:sp macro="" textlink="">
          <xdr:nvSpPr>
            <xdr:cNvPr id="22634" name="Button 106" descr="кнопка 1" hidden="1">
              <a:extLst>
                <a:ext uri="{63B3BB69-23CF-44E3-9099-C40C66FF867C}">
                  <a14:compatExt spid="_x0000_s22634"/>
                </a:ext>
                <a:ext uri="{FF2B5EF4-FFF2-40B4-BE49-F238E27FC236}">
                  <a16:creationId xmlns:a16="http://schemas.microsoft.com/office/drawing/2014/main" id="{00000000-0008-0000-0400-00006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33333"/>
                  </a:solidFill>
                  <a:latin typeface="Tahoma"/>
                  <a:ea typeface="Tahoma"/>
                  <a:cs typeface="Tahoma"/>
                </a:rPr>
                <a:t>Вкл.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</xdr:row>
          <xdr:rowOff>9525</xdr:rowOff>
        </xdr:from>
        <xdr:to>
          <xdr:col>46</xdr:col>
          <xdr:colOff>600075</xdr:colOff>
          <xdr:row>1</xdr:row>
          <xdr:rowOff>228600</xdr:rowOff>
        </xdr:to>
        <xdr:sp macro="" textlink="">
          <xdr:nvSpPr>
            <xdr:cNvPr id="22635" name="Button 107" descr="кнопка 1" hidden="1">
              <a:extLst>
                <a:ext uri="{63B3BB69-23CF-44E3-9099-C40C66FF867C}">
                  <a14:compatExt spid="_x0000_s22635"/>
                </a:ext>
                <a:ext uri="{FF2B5EF4-FFF2-40B4-BE49-F238E27FC236}">
                  <a16:creationId xmlns:a16="http://schemas.microsoft.com/office/drawing/2014/main" id="{00000000-0008-0000-0400-00006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33333"/>
                  </a:solidFill>
                  <a:latin typeface="Tahoma"/>
                  <a:ea typeface="Tahoma"/>
                  <a:cs typeface="Tahoma"/>
                </a:rPr>
                <a:t>Вкл.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</xdr:row>
          <xdr:rowOff>0</xdr:rowOff>
        </xdr:from>
        <xdr:to>
          <xdr:col>11</xdr:col>
          <xdr:colOff>600075</xdr:colOff>
          <xdr:row>1</xdr:row>
          <xdr:rowOff>228600</xdr:rowOff>
        </xdr:to>
        <xdr:sp macro="" textlink="">
          <xdr:nvSpPr>
            <xdr:cNvPr id="22637" name="Button 109" descr="кнопка 1" hidden="1">
              <a:extLst>
                <a:ext uri="{63B3BB69-23CF-44E3-9099-C40C66FF867C}">
                  <a14:compatExt spid="_x0000_s22637"/>
                </a:ext>
                <a:ext uri="{FF2B5EF4-FFF2-40B4-BE49-F238E27FC236}">
                  <a16:creationId xmlns:a16="http://schemas.microsoft.com/office/drawing/2014/main" id="{00000000-0008-0000-0400-00006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33333"/>
                  </a:solidFill>
                  <a:latin typeface="Tahoma"/>
                  <a:ea typeface="Tahoma"/>
                  <a:cs typeface="Tahoma"/>
                </a:rPr>
                <a:t>Выкл.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</xdr:row>
          <xdr:rowOff>0</xdr:rowOff>
        </xdr:from>
        <xdr:to>
          <xdr:col>15</xdr:col>
          <xdr:colOff>600075</xdr:colOff>
          <xdr:row>1</xdr:row>
          <xdr:rowOff>228600</xdr:rowOff>
        </xdr:to>
        <xdr:sp macro="" textlink="">
          <xdr:nvSpPr>
            <xdr:cNvPr id="22638" name="Button 110" descr="кнопка 1" hidden="1">
              <a:extLst>
                <a:ext uri="{63B3BB69-23CF-44E3-9099-C40C66FF867C}">
                  <a14:compatExt spid="_x0000_s22638"/>
                </a:ext>
                <a:ext uri="{FF2B5EF4-FFF2-40B4-BE49-F238E27FC236}">
                  <a16:creationId xmlns:a16="http://schemas.microsoft.com/office/drawing/2014/main" id="{00000000-0008-0000-0400-00006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33333"/>
                  </a:solidFill>
                  <a:latin typeface="Tahoma"/>
                  <a:ea typeface="Tahoma"/>
                  <a:cs typeface="Tahoma"/>
                </a:rPr>
                <a:t>Выкл.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</xdr:row>
          <xdr:rowOff>0</xdr:rowOff>
        </xdr:from>
        <xdr:to>
          <xdr:col>19</xdr:col>
          <xdr:colOff>600075</xdr:colOff>
          <xdr:row>1</xdr:row>
          <xdr:rowOff>228600</xdr:rowOff>
        </xdr:to>
        <xdr:sp macro="" textlink="">
          <xdr:nvSpPr>
            <xdr:cNvPr id="22639" name="Button 111" descr="кнопка 1" hidden="1">
              <a:extLst>
                <a:ext uri="{63B3BB69-23CF-44E3-9099-C40C66FF867C}">
                  <a14:compatExt spid="_x0000_s22639"/>
                </a:ext>
                <a:ext uri="{FF2B5EF4-FFF2-40B4-BE49-F238E27FC236}">
                  <a16:creationId xmlns:a16="http://schemas.microsoft.com/office/drawing/2014/main" id="{00000000-0008-0000-0400-00006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33333"/>
                  </a:solidFill>
                  <a:latin typeface="Tahoma"/>
                  <a:ea typeface="Tahoma"/>
                  <a:cs typeface="Tahoma"/>
                </a:rPr>
                <a:t>Выкл.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</xdr:row>
          <xdr:rowOff>0</xdr:rowOff>
        </xdr:from>
        <xdr:to>
          <xdr:col>23</xdr:col>
          <xdr:colOff>600075</xdr:colOff>
          <xdr:row>1</xdr:row>
          <xdr:rowOff>228600</xdr:rowOff>
        </xdr:to>
        <xdr:sp macro="" textlink="">
          <xdr:nvSpPr>
            <xdr:cNvPr id="22640" name="Button 112" descr="кнопка 1" hidden="1">
              <a:extLst>
                <a:ext uri="{63B3BB69-23CF-44E3-9099-C40C66FF867C}">
                  <a14:compatExt spid="_x0000_s22640"/>
                </a:ext>
                <a:ext uri="{FF2B5EF4-FFF2-40B4-BE49-F238E27FC236}">
                  <a16:creationId xmlns:a16="http://schemas.microsoft.com/office/drawing/2014/main" id="{00000000-0008-0000-0400-00007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33333"/>
                  </a:solidFill>
                  <a:latin typeface="Tahoma"/>
                  <a:ea typeface="Tahoma"/>
                  <a:cs typeface="Tahoma"/>
                </a:rPr>
                <a:t>Выкл.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1</xdr:row>
          <xdr:rowOff>0</xdr:rowOff>
        </xdr:from>
        <xdr:to>
          <xdr:col>27</xdr:col>
          <xdr:colOff>600075</xdr:colOff>
          <xdr:row>1</xdr:row>
          <xdr:rowOff>228600</xdr:rowOff>
        </xdr:to>
        <xdr:sp macro="" textlink="">
          <xdr:nvSpPr>
            <xdr:cNvPr id="22641" name="Button 113" descr="кнопка 1" hidden="1">
              <a:extLst>
                <a:ext uri="{63B3BB69-23CF-44E3-9099-C40C66FF867C}">
                  <a14:compatExt spid="_x0000_s22641"/>
                </a:ext>
                <a:ext uri="{FF2B5EF4-FFF2-40B4-BE49-F238E27FC236}">
                  <a16:creationId xmlns:a16="http://schemas.microsoft.com/office/drawing/2014/main" id="{00000000-0008-0000-0400-00007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33333"/>
                  </a:solidFill>
                  <a:latin typeface="Tahoma"/>
                  <a:ea typeface="Tahoma"/>
                  <a:cs typeface="Tahoma"/>
                </a:rPr>
                <a:t>Выкл.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</xdr:row>
          <xdr:rowOff>0</xdr:rowOff>
        </xdr:from>
        <xdr:to>
          <xdr:col>31</xdr:col>
          <xdr:colOff>600075</xdr:colOff>
          <xdr:row>1</xdr:row>
          <xdr:rowOff>228600</xdr:rowOff>
        </xdr:to>
        <xdr:sp macro="" textlink="">
          <xdr:nvSpPr>
            <xdr:cNvPr id="22642" name="Button 114" descr="кнопка 1" hidden="1">
              <a:extLst>
                <a:ext uri="{63B3BB69-23CF-44E3-9099-C40C66FF867C}">
                  <a14:compatExt spid="_x0000_s22642"/>
                </a:ext>
                <a:ext uri="{FF2B5EF4-FFF2-40B4-BE49-F238E27FC236}">
                  <a16:creationId xmlns:a16="http://schemas.microsoft.com/office/drawing/2014/main" id="{00000000-0008-0000-0400-00007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33333"/>
                  </a:solidFill>
                  <a:latin typeface="Tahoma"/>
                  <a:ea typeface="Tahoma"/>
                  <a:cs typeface="Tahoma"/>
                </a:rPr>
                <a:t>Выкл.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1</xdr:row>
          <xdr:rowOff>0</xdr:rowOff>
        </xdr:from>
        <xdr:to>
          <xdr:col>35</xdr:col>
          <xdr:colOff>600075</xdr:colOff>
          <xdr:row>1</xdr:row>
          <xdr:rowOff>228600</xdr:rowOff>
        </xdr:to>
        <xdr:sp macro="" textlink="">
          <xdr:nvSpPr>
            <xdr:cNvPr id="22643" name="Button 115" descr="кнопка 1" hidden="1">
              <a:extLst>
                <a:ext uri="{63B3BB69-23CF-44E3-9099-C40C66FF867C}">
                  <a14:compatExt spid="_x0000_s22643"/>
                </a:ext>
                <a:ext uri="{FF2B5EF4-FFF2-40B4-BE49-F238E27FC236}">
                  <a16:creationId xmlns:a16="http://schemas.microsoft.com/office/drawing/2014/main" id="{00000000-0008-0000-0400-00007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33333"/>
                  </a:solidFill>
                  <a:latin typeface="Tahoma"/>
                  <a:ea typeface="Tahoma"/>
                  <a:cs typeface="Tahoma"/>
                </a:rPr>
                <a:t>Выкл.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1</xdr:row>
          <xdr:rowOff>0</xdr:rowOff>
        </xdr:from>
        <xdr:to>
          <xdr:col>39</xdr:col>
          <xdr:colOff>600075</xdr:colOff>
          <xdr:row>1</xdr:row>
          <xdr:rowOff>228600</xdr:rowOff>
        </xdr:to>
        <xdr:sp macro="" textlink="">
          <xdr:nvSpPr>
            <xdr:cNvPr id="22644" name="Button 116" descr="кнопка 1" hidden="1">
              <a:extLst>
                <a:ext uri="{63B3BB69-23CF-44E3-9099-C40C66FF867C}">
                  <a14:compatExt spid="_x0000_s22644"/>
                </a:ext>
                <a:ext uri="{FF2B5EF4-FFF2-40B4-BE49-F238E27FC236}">
                  <a16:creationId xmlns:a16="http://schemas.microsoft.com/office/drawing/2014/main" id="{00000000-0008-0000-0400-00007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33333"/>
                  </a:solidFill>
                  <a:latin typeface="Tahoma"/>
                  <a:ea typeface="Tahoma"/>
                  <a:cs typeface="Tahoma"/>
                </a:rPr>
                <a:t>Выкл.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9525</xdr:colOff>
          <xdr:row>1</xdr:row>
          <xdr:rowOff>0</xdr:rowOff>
        </xdr:from>
        <xdr:to>
          <xdr:col>43</xdr:col>
          <xdr:colOff>600075</xdr:colOff>
          <xdr:row>1</xdr:row>
          <xdr:rowOff>228600</xdr:rowOff>
        </xdr:to>
        <xdr:sp macro="" textlink="">
          <xdr:nvSpPr>
            <xdr:cNvPr id="22645" name="Button 117" descr="кнопка 1" hidden="1">
              <a:extLst>
                <a:ext uri="{63B3BB69-23CF-44E3-9099-C40C66FF867C}">
                  <a14:compatExt spid="_x0000_s22645"/>
                </a:ext>
                <a:ext uri="{FF2B5EF4-FFF2-40B4-BE49-F238E27FC236}">
                  <a16:creationId xmlns:a16="http://schemas.microsoft.com/office/drawing/2014/main" id="{00000000-0008-0000-0400-00007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33333"/>
                  </a:solidFill>
                  <a:latin typeface="Tahoma"/>
                  <a:ea typeface="Tahoma"/>
                  <a:cs typeface="Tahoma"/>
                </a:rPr>
                <a:t>Выкл.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9525</xdr:colOff>
          <xdr:row>1</xdr:row>
          <xdr:rowOff>0</xdr:rowOff>
        </xdr:from>
        <xdr:to>
          <xdr:col>47</xdr:col>
          <xdr:colOff>600075</xdr:colOff>
          <xdr:row>1</xdr:row>
          <xdr:rowOff>228600</xdr:rowOff>
        </xdr:to>
        <xdr:sp macro="" textlink="">
          <xdr:nvSpPr>
            <xdr:cNvPr id="22646" name="Button 118" descr="кнопка 1" hidden="1">
              <a:extLst>
                <a:ext uri="{63B3BB69-23CF-44E3-9099-C40C66FF867C}">
                  <a14:compatExt spid="_x0000_s22646"/>
                </a:ext>
                <a:ext uri="{FF2B5EF4-FFF2-40B4-BE49-F238E27FC236}">
                  <a16:creationId xmlns:a16="http://schemas.microsoft.com/office/drawing/2014/main" id="{00000000-0008-0000-0400-00007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33333"/>
                  </a:solidFill>
                  <a:latin typeface="Tahoma"/>
                  <a:ea typeface="Tahoma"/>
                  <a:cs typeface="Tahoma"/>
                </a:rPr>
                <a:t>Выкл.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49</xdr:col>
      <xdr:colOff>0</xdr:colOff>
      <xdr:row>2</xdr:row>
      <xdr:rowOff>0</xdr:rowOff>
    </xdr:from>
    <xdr:to>
      <xdr:col>50</xdr:col>
      <xdr:colOff>66</xdr:colOff>
      <xdr:row>3</xdr:row>
      <xdr:rowOff>66</xdr:rowOff>
    </xdr:to>
    <xdr:pic>
      <xdr:nvPicPr>
        <xdr:cNvPr id="22636" name="Рисунок 22635">
          <a:extLst>
            <a:ext uri="{FF2B5EF4-FFF2-40B4-BE49-F238E27FC236}">
              <a16:creationId xmlns:a16="http://schemas.microsoft.com/office/drawing/2014/main" id="{00000000-0008-0000-0400-00006C5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3581179" y="721179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3</xdr:row>
      <xdr:rowOff>0</xdr:rowOff>
    </xdr:from>
    <xdr:to>
      <xdr:col>50</xdr:col>
      <xdr:colOff>66</xdr:colOff>
      <xdr:row>4</xdr:row>
      <xdr:rowOff>66</xdr:rowOff>
    </xdr:to>
    <xdr:pic>
      <xdr:nvPicPr>
        <xdr:cNvPr id="22647" name="Рисунок 22646">
          <a:extLst>
            <a:ext uri="{FF2B5EF4-FFF2-40B4-BE49-F238E27FC236}">
              <a16:creationId xmlns:a16="http://schemas.microsoft.com/office/drawing/2014/main" id="{00000000-0008-0000-0400-0000775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23581179" y="1197429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4</xdr:row>
      <xdr:rowOff>0</xdr:rowOff>
    </xdr:from>
    <xdr:to>
      <xdr:col>50</xdr:col>
      <xdr:colOff>66</xdr:colOff>
      <xdr:row>5</xdr:row>
      <xdr:rowOff>66</xdr:rowOff>
    </xdr:to>
    <xdr:pic>
      <xdr:nvPicPr>
        <xdr:cNvPr id="22648" name="Рисунок 22647">
          <a:extLst>
            <a:ext uri="{FF2B5EF4-FFF2-40B4-BE49-F238E27FC236}">
              <a16:creationId xmlns:a16="http://schemas.microsoft.com/office/drawing/2014/main" id="{00000000-0008-0000-0400-0000785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3581179" y="1673679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5</xdr:row>
      <xdr:rowOff>0</xdr:rowOff>
    </xdr:from>
    <xdr:to>
      <xdr:col>50</xdr:col>
      <xdr:colOff>66</xdr:colOff>
      <xdr:row>6</xdr:row>
      <xdr:rowOff>66</xdr:rowOff>
    </xdr:to>
    <xdr:pic>
      <xdr:nvPicPr>
        <xdr:cNvPr id="22649" name="Рисунок 22648">
          <a:extLst>
            <a:ext uri="{FF2B5EF4-FFF2-40B4-BE49-F238E27FC236}">
              <a16:creationId xmlns:a16="http://schemas.microsoft.com/office/drawing/2014/main" id="{00000000-0008-0000-0400-0000795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23581179" y="2149929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6</xdr:row>
      <xdr:rowOff>0</xdr:rowOff>
    </xdr:from>
    <xdr:to>
      <xdr:col>50</xdr:col>
      <xdr:colOff>66</xdr:colOff>
      <xdr:row>7</xdr:row>
      <xdr:rowOff>66</xdr:rowOff>
    </xdr:to>
    <xdr:pic>
      <xdr:nvPicPr>
        <xdr:cNvPr id="22650" name="Рисунок 22649">
          <a:extLst>
            <a:ext uri="{FF2B5EF4-FFF2-40B4-BE49-F238E27FC236}">
              <a16:creationId xmlns:a16="http://schemas.microsoft.com/office/drawing/2014/main" id="{00000000-0008-0000-0400-00007A5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3581179" y="2626179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7</xdr:row>
      <xdr:rowOff>0</xdr:rowOff>
    </xdr:from>
    <xdr:to>
      <xdr:col>50</xdr:col>
      <xdr:colOff>66</xdr:colOff>
      <xdr:row>8</xdr:row>
      <xdr:rowOff>66</xdr:rowOff>
    </xdr:to>
    <xdr:pic>
      <xdr:nvPicPr>
        <xdr:cNvPr id="22651" name="Рисунок 22650">
          <a:extLst>
            <a:ext uri="{FF2B5EF4-FFF2-40B4-BE49-F238E27FC236}">
              <a16:creationId xmlns:a16="http://schemas.microsoft.com/office/drawing/2014/main" id="{00000000-0008-0000-0400-00007B5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3581179" y="3102429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8</xdr:row>
      <xdr:rowOff>0</xdr:rowOff>
    </xdr:from>
    <xdr:to>
      <xdr:col>50</xdr:col>
      <xdr:colOff>66</xdr:colOff>
      <xdr:row>9</xdr:row>
      <xdr:rowOff>66</xdr:rowOff>
    </xdr:to>
    <xdr:pic>
      <xdr:nvPicPr>
        <xdr:cNvPr id="22652" name="Рисунок 22651">
          <a:extLst>
            <a:ext uri="{FF2B5EF4-FFF2-40B4-BE49-F238E27FC236}">
              <a16:creationId xmlns:a16="http://schemas.microsoft.com/office/drawing/2014/main" id="{00000000-0008-0000-0400-00007C5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3581179" y="3578679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9</xdr:row>
      <xdr:rowOff>0</xdr:rowOff>
    </xdr:from>
    <xdr:to>
      <xdr:col>50</xdr:col>
      <xdr:colOff>66</xdr:colOff>
      <xdr:row>10</xdr:row>
      <xdr:rowOff>66</xdr:rowOff>
    </xdr:to>
    <xdr:pic>
      <xdr:nvPicPr>
        <xdr:cNvPr id="22653" name="Рисунок 22652">
          <a:extLst>
            <a:ext uri="{FF2B5EF4-FFF2-40B4-BE49-F238E27FC236}">
              <a16:creationId xmlns:a16="http://schemas.microsoft.com/office/drawing/2014/main" id="{00000000-0008-0000-0400-00007D5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3581179" y="4054929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10</xdr:row>
      <xdr:rowOff>0</xdr:rowOff>
    </xdr:from>
    <xdr:to>
      <xdr:col>50</xdr:col>
      <xdr:colOff>66</xdr:colOff>
      <xdr:row>11</xdr:row>
      <xdr:rowOff>66</xdr:rowOff>
    </xdr:to>
    <xdr:pic>
      <xdr:nvPicPr>
        <xdr:cNvPr id="22654" name="Рисунок 22653">
          <a:extLst>
            <a:ext uri="{FF2B5EF4-FFF2-40B4-BE49-F238E27FC236}">
              <a16:creationId xmlns:a16="http://schemas.microsoft.com/office/drawing/2014/main" id="{00000000-0008-0000-0400-00007E5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3581179" y="4531179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11</xdr:row>
      <xdr:rowOff>0</xdr:rowOff>
    </xdr:from>
    <xdr:to>
      <xdr:col>50</xdr:col>
      <xdr:colOff>66</xdr:colOff>
      <xdr:row>12</xdr:row>
      <xdr:rowOff>66</xdr:rowOff>
    </xdr:to>
    <xdr:pic>
      <xdr:nvPicPr>
        <xdr:cNvPr id="22655" name="Рисунок 22654">
          <a:extLst>
            <a:ext uri="{FF2B5EF4-FFF2-40B4-BE49-F238E27FC236}">
              <a16:creationId xmlns:a16="http://schemas.microsoft.com/office/drawing/2014/main" id="{00000000-0008-0000-0400-00007F5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3581179" y="5007429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12</xdr:row>
      <xdr:rowOff>0</xdr:rowOff>
    </xdr:from>
    <xdr:to>
      <xdr:col>50</xdr:col>
      <xdr:colOff>66</xdr:colOff>
      <xdr:row>13</xdr:row>
      <xdr:rowOff>66</xdr:rowOff>
    </xdr:to>
    <xdr:pic>
      <xdr:nvPicPr>
        <xdr:cNvPr id="52" name="Рисунок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3581179" y="5483679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13</xdr:row>
      <xdr:rowOff>0</xdr:rowOff>
    </xdr:from>
    <xdr:to>
      <xdr:col>50</xdr:col>
      <xdr:colOff>66</xdr:colOff>
      <xdr:row>14</xdr:row>
      <xdr:rowOff>66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3581179" y="5959929"/>
          <a:ext cx="476316" cy="476316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14</xdr:row>
      <xdr:rowOff>0</xdr:rowOff>
    </xdr:from>
    <xdr:to>
      <xdr:col>50</xdr:col>
      <xdr:colOff>66</xdr:colOff>
      <xdr:row>15</xdr:row>
      <xdr:rowOff>66</xdr:rowOff>
    </xdr:to>
    <xdr:pic>
      <xdr:nvPicPr>
        <xdr:cNvPr id="58" name="Рисунок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3581179" y="6436179"/>
          <a:ext cx="476316" cy="4763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9525</xdr:colOff>
          <xdr:row>1</xdr:row>
          <xdr:rowOff>0</xdr:rowOff>
        </xdr:from>
        <xdr:to>
          <xdr:col>51</xdr:col>
          <xdr:colOff>600075</xdr:colOff>
          <xdr:row>1</xdr:row>
          <xdr:rowOff>228600</xdr:rowOff>
        </xdr:to>
        <xdr:sp macro="" textlink="">
          <xdr:nvSpPr>
            <xdr:cNvPr id="59" name="Button 120" descr="кнопка 1" hidden="1">
              <a:extLst>
                <a:ext uri="{63B3BB69-23CF-44E3-9099-C40C66FF867C}">
                  <a14:compatExt spid="_x0000_s22648"/>
                </a:ext>
                <a:ext uri="{FF2B5EF4-FFF2-40B4-BE49-F238E27FC236}">
                  <a16:creationId xmlns:a16="http://schemas.microsoft.com/office/drawing/2014/main" id="{00000000-0008-0000-0400-00003B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33333"/>
                  </a:solidFill>
                  <a:latin typeface="Tahoma"/>
                  <a:ea typeface="Tahoma"/>
                  <a:cs typeface="Tahoma"/>
                </a:rPr>
                <a:t>Выкл.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9525</xdr:colOff>
          <xdr:row>3</xdr:row>
          <xdr:rowOff>9525</xdr:rowOff>
        </xdr:from>
        <xdr:to>
          <xdr:col>48</xdr:col>
          <xdr:colOff>228600</xdr:colOff>
          <xdr:row>4</xdr:row>
          <xdr:rowOff>0</xdr:rowOff>
        </xdr:to>
        <xdr:sp macro="" textlink="">
          <xdr:nvSpPr>
            <xdr:cNvPr id="60" name="Check Box 122" hidden="1">
              <a:extLst>
                <a:ext uri="{63B3BB69-23CF-44E3-9099-C40C66FF867C}">
                  <a14:compatExt spid="_x0000_s22650"/>
                </a:ext>
                <a:ext uri="{FF2B5EF4-FFF2-40B4-BE49-F238E27FC236}">
                  <a16:creationId xmlns:a16="http://schemas.microsoft.com/office/drawing/2014/main" id="{00000000-0008-0000-0400-00003C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9525</xdr:colOff>
          <xdr:row>4</xdr:row>
          <xdr:rowOff>9525</xdr:rowOff>
        </xdr:from>
        <xdr:to>
          <xdr:col>48</xdr:col>
          <xdr:colOff>228600</xdr:colOff>
          <xdr:row>5</xdr:row>
          <xdr:rowOff>0</xdr:rowOff>
        </xdr:to>
        <xdr:sp macro="" textlink="">
          <xdr:nvSpPr>
            <xdr:cNvPr id="61" name="Check Box 123" hidden="1">
              <a:extLst>
                <a:ext uri="{63B3BB69-23CF-44E3-9099-C40C66FF867C}">
                  <a14:compatExt spid="_x0000_s22651"/>
                </a:ext>
                <a:ext uri="{FF2B5EF4-FFF2-40B4-BE49-F238E27FC236}">
                  <a16:creationId xmlns:a16="http://schemas.microsoft.com/office/drawing/2014/main" id="{00000000-0008-0000-0400-00003D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9525</xdr:colOff>
          <xdr:row>5</xdr:row>
          <xdr:rowOff>9525</xdr:rowOff>
        </xdr:from>
        <xdr:to>
          <xdr:col>48</xdr:col>
          <xdr:colOff>228600</xdr:colOff>
          <xdr:row>6</xdr:row>
          <xdr:rowOff>0</xdr:rowOff>
        </xdr:to>
        <xdr:sp macro="" textlink="">
          <xdr:nvSpPr>
            <xdr:cNvPr id="62" name="Check Box 124" hidden="1">
              <a:extLst>
                <a:ext uri="{63B3BB69-23CF-44E3-9099-C40C66FF867C}">
                  <a14:compatExt spid="_x0000_s22652"/>
                </a:ext>
                <a:ext uri="{FF2B5EF4-FFF2-40B4-BE49-F238E27FC236}">
                  <a16:creationId xmlns:a16="http://schemas.microsoft.com/office/drawing/2014/main" id="{00000000-0008-0000-0400-00003E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=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9525</xdr:colOff>
          <xdr:row>6</xdr:row>
          <xdr:rowOff>9525</xdr:rowOff>
        </xdr:from>
        <xdr:to>
          <xdr:col>48</xdr:col>
          <xdr:colOff>228600</xdr:colOff>
          <xdr:row>7</xdr:row>
          <xdr:rowOff>0</xdr:rowOff>
        </xdr:to>
        <xdr:sp macro="" textlink="">
          <xdr:nvSpPr>
            <xdr:cNvPr id="63" name="Check Box 125" hidden="1">
              <a:extLst>
                <a:ext uri="{63B3BB69-23CF-44E3-9099-C40C66FF867C}">
                  <a14:compatExt spid="_x0000_s22653"/>
                </a:ext>
                <a:ext uri="{FF2B5EF4-FFF2-40B4-BE49-F238E27FC236}">
                  <a16:creationId xmlns:a16="http://schemas.microsoft.com/office/drawing/2014/main" id="{00000000-0008-0000-0400-00003F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9525</xdr:colOff>
          <xdr:row>7</xdr:row>
          <xdr:rowOff>9525</xdr:rowOff>
        </xdr:from>
        <xdr:to>
          <xdr:col>48</xdr:col>
          <xdr:colOff>228600</xdr:colOff>
          <xdr:row>8</xdr:row>
          <xdr:rowOff>0</xdr:rowOff>
        </xdr:to>
        <xdr:sp macro="" textlink="">
          <xdr:nvSpPr>
            <xdr:cNvPr id="22528" name="Check Box 126" hidden="1">
              <a:extLst>
                <a:ext uri="{63B3BB69-23CF-44E3-9099-C40C66FF867C}">
                  <a14:compatExt spid="_x0000_s22654"/>
                </a:ext>
                <a:ext uri="{FF2B5EF4-FFF2-40B4-BE49-F238E27FC236}">
                  <a16:creationId xmlns:a16="http://schemas.microsoft.com/office/drawing/2014/main" id="{00000000-0008-0000-0400-00000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9525</xdr:colOff>
          <xdr:row>8</xdr:row>
          <xdr:rowOff>9525</xdr:rowOff>
        </xdr:from>
        <xdr:to>
          <xdr:col>48</xdr:col>
          <xdr:colOff>228600</xdr:colOff>
          <xdr:row>9</xdr:row>
          <xdr:rowOff>0</xdr:rowOff>
        </xdr:to>
        <xdr:sp macro="" textlink="">
          <xdr:nvSpPr>
            <xdr:cNvPr id="22584" name="Check Box 127" hidden="1">
              <a:extLst>
                <a:ext uri="{63B3BB69-23CF-44E3-9099-C40C66FF867C}">
                  <a14:compatExt spid="_x0000_s22655"/>
                </a:ext>
                <a:ext uri="{FF2B5EF4-FFF2-40B4-BE49-F238E27FC236}">
                  <a16:creationId xmlns:a16="http://schemas.microsoft.com/office/drawing/2014/main" id="{00000000-0008-0000-0400-00003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9525</xdr:colOff>
          <xdr:row>9</xdr:row>
          <xdr:rowOff>9525</xdr:rowOff>
        </xdr:from>
        <xdr:to>
          <xdr:col>48</xdr:col>
          <xdr:colOff>228600</xdr:colOff>
          <xdr:row>10</xdr:row>
          <xdr:rowOff>0</xdr:rowOff>
        </xdr:to>
        <xdr:sp macro="" textlink="">
          <xdr:nvSpPr>
            <xdr:cNvPr id="22657" name="Check Box 129" hidden="1">
              <a:extLst>
                <a:ext uri="{63B3BB69-23CF-44E3-9099-C40C66FF867C}">
                  <a14:compatExt spid="_x0000_s22657"/>
                </a:ext>
                <a:ext uri="{FF2B5EF4-FFF2-40B4-BE49-F238E27FC236}">
                  <a16:creationId xmlns:a16="http://schemas.microsoft.com/office/drawing/2014/main" id="{00000000-0008-0000-0400-00008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9525</xdr:colOff>
          <xdr:row>10</xdr:row>
          <xdr:rowOff>9525</xdr:rowOff>
        </xdr:from>
        <xdr:to>
          <xdr:col>48</xdr:col>
          <xdr:colOff>228600</xdr:colOff>
          <xdr:row>11</xdr:row>
          <xdr:rowOff>0</xdr:rowOff>
        </xdr:to>
        <xdr:sp macro="" textlink="">
          <xdr:nvSpPr>
            <xdr:cNvPr id="22658" name="Check Box 130" hidden="1">
              <a:extLst>
                <a:ext uri="{63B3BB69-23CF-44E3-9099-C40C66FF867C}">
                  <a14:compatExt spid="_x0000_s22658"/>
                </a:ext>
                <a:ext uri="{FF2B5EF4-FFF2-40B4-BE49-F238E27FC236}">
                  <a16:creationId xmlns:a16="http://schemas.microsoft.com/office/drawing/2014/main" id="{00000000-0008-0000-0400-00008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9525</xdr:colOff>
          <xdr:row>11</xdr:row>
          <xdr:rowOff>9525</xdr:rowOff>
        </xdr:from>
        <xdr:to>
          <xdr:col>48</xdr:col>
          <xdr:colOff>228600</xdr:colOff>
          <xdr:row>12</xdr:row>
          <xdr:rowOff>0</xdr:rowOff>
        </xdr:to>
        <xdr:sp macro="" textlink="">
          <xdr:nvSpPr>
            <xdr:cNvPr id="22659" name="Check Box 131" hidden="1">
              <a:extLst>
                <a:ext uri="{63B3BB69-23CF-44E3-9099-C40C66FF867C}">
                  <a14:compatExt spid="_x0000_s22659"/>
                </a:ext>
                <a:ext uri="{FF2B5EF4-FFF2-40B4-BE49-F238E27FC236}">
                  <a16:creationId xmlns:a16="http://schemas.microsoft.com/office/drawing/2014/main" id="{00000000-0008-0000-0400-00008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9525</xdr:colOff>
          <xdr:row>12</xdr:row>
          <xdr:rowOff>9525</xdr:rowOff>
        </xdr:from>
        <xdr:to>
          <xdr:col>48</xdr:col>
          <xdr:colOff>228600</xdr:colOff>
          <xdr:row>13</xdr:row>
          <xdr:rowOff>0</xdr:rowOff>
        </xdr:to>
        <xdr:sp macro="" textlink="">
          <xdr:nvSpPr>
            <xdr:cNvPr id="22660" name="Check Box 132" hidden="1">
              <a:extLst>
                <a:ext uri="{63B3BB69-23CF-44E3-9099-C40C66FF867C}">
                  <a14:compatExt spid="_x0000_s22660"/>
                </a:ext>
                <a:ext uri="{FF2B5EF4-FFF2-40B4-BE49-F238E27FC236}">
                  <a16:creationId xmlns:a16="http://schemas.microsoft.com/office/drawing/2014/main" id="{00000000-0008-0000-0400-00008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9525</xdr:colOff>
          <xdr:row>13</xdr:row>
          <xdr:rowOff>9525</xdr:rowOff>
        </xdr:from>
        <xdr:to>
          <xdr:col>48</xdr:col>
          <xdr:colOff>228600</xdr:colOff>
          <xdr:row>14</xdr:row>
          <xdr:rowOff>0</xdr:rowOff>
        </xdr:to>
        <xdr:sp macro="" textlink="">
          <xdr:nvSpPr>
            <xdr:cNvPr id="22661" name="Check Box 133" hidden="1">
              <a:extLst>
                <a:ext uri="{63B3BB69-23CF-44E3-9099-C40C66FF867C}">
                  <a14:compatExt spid="_x0000_s22661"/>
                </a:ext>
                <a:ext uri="{FF2B5EF4-FFF2-40B4-BE49-F238E27FC236}">
                  <a16:creationId xmlns:a16="http://schemas.microsoft.com/office/drawing/2014/main" id="{00000000-0008-0000-0400-00008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9525</xdr:colOff>
          <xdr:row>14</xdr:row>
          <xdr:rowOff>9525</xdr:rowOff>
        </xdr:from>
        <xdr:to>
          <xdr:col>48</xdr:col>
          <xdr:colOff>228600</xdr:colOff>
          <xdr:row>15</xdr:row>
          <xdr:rowOff>0</xdr:rowOff>
        </xdr:to>
        <xdr:sp macro="" textlink="">
          <xdr:nvSpPr>
            <xdr:cNvPr id="22662" name="Check Box 134" hidden="1">
              <a:extLst>
                <a:ext uri="{63B3BB69-23CF-44E3-9099-C40C66FF867C}">
                  <a14:compatExt spid="_x0000_s22662"/>
                </a:ext>
                <a:ext uri="{FF2B5EF4-FFF2-40B4-BE49-F238E27FC236}">
                  <a16:creationId xmlns:a16="http://schemas.microsoft.com/office/drawing/2014/main" id="{00000000-0008-0000-0400-00008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9525</xdr:colOff>
          <xdr:row>1</xdr:row>
          <xdr:rowOff>9525</xdr:rowOff>
        </xdr:from>
        <xdr:to>
          <xdr:col>50</xdr:col>
          <xdr:colOff>600075</xdr:colOff>
          <xdr:row>1</xdr:row>
          <xdr:rowOff>228600</xdr:rowOff>
        </xdr:to>
        <xdr:sp macro="" textlink="">
          <xdr:nvSpPr>
            <xdr:cNvPr id="22663" name="Button 135" descr="кнопка 1" hidden="1">
              <a:extLst>
                <a:ext uri="{63B3BB69-23CF-44E3-9099-C40C66FF867C}">
                  <a14:compatExt spid="_x0000_s22663"/>
                </a:ext>
                <a:ext uri="{FF2B5EF4-FFF2-40B4-BE49-F238E27FC236}">
                  <a16:creationId xmlns:a16="http://schemas.microsoft.com/office/drawing/2014/main" id="{00000000-0008-0000-0400-00008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333333"/>
                  </a:solidFill>
                  <a:latin typeface="Tahoma"/>
                  <a:ea typeface="Tahoma"/>
                  <a:cs typeface="Tahoma"/>
                </a:rPr>
                <a:t>Вкл.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9525</xdr:colOff>
          <xdr:row>2</xdr:row>
          <xdr:rowOff>9525</xdr:rowOff>
        </xdr:from>
        <xdr:to>
          <xdr:col>48</xdr:col>
          <xdr:colOff>228600</xdr:colOff>
          <xdr:row>3</xdr:row>
          <xdr:rowOff>0</xdr:rowOff>
        </xdr:to>
        <xdr:sp macro="" textlink="">
          <xdr:nvSpPr>
            <xdr:cNvPr id="22664" name="Check Box 136" hidden="1">
              <a:extLst>
                <a:ext uri="{63B3BB69-23CF-44E3-9099-C40C66FF867C}">
                  <a14:compatExt spid="_x0000_s22664"/>
                </a:ext>
                <a:ext uri="{FF2B5EF4-FFF2-40B4-BE49-F238E27FC236}">
                  <a16:creationId xmlns:a16="http://schemas.microsoft.com/office/drawing/2014/main" id="{00000000-0008-0000-0400-00008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847725</xdr:colOff>
          <xdr:row>5</xdr:row>
          <xdr:rowOff>210165</xdr:rowOff>
        </xdr:to>
        <xdr:pic>
          <xdr:nvPicPr>
            <xdr:cNvPr id="53" name="Picture 37">
              <a:extLs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Иконки_стимуляторы_специальные_1" spid="_x0000_s926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991100"/>
              <a:ext cx="847725" cy="429240"/>
            </a:xfrm>
            <a:prstGeom prst="rect">
              <a:avLst/>
            </a:prstGeom>
            <a:solidFill>
              <a:srgbClr val="333333" mc:Ignorable="a14" a14:legacySpreadsheetColorIndex="63"/>
            </a:solidFill>
            <a:ln>
              <a:noFill/>
            </a:ln>
            <a:effectLst>
              <a:glow>
                <a:schemeClr val="accent1"/>
              </a:glow>
              <a:reflection stA="99000" endPos="0" dist="50800" dir="5400000" sy="-100000" algn="bl" rotWithShape="0"/>
              <a:softEdge rad="63500"/>
            </a:effectLst>
            <a:extLs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1</xdr:col>
          <xdr:colOff>847725</xdr:colOff>
          <xdr:row>5</xdr:row>
          <xdr:rowOff>212815</xdr:rowOff>
        </xdr:to>
        <xdr:pic>
          <xdr:nvPicPr>
            <xdr:cNvPr id="54" name="Picture 37">
              <a:extLst>
                <a:ext uri="{FF2B5EF4-FFF2-40B4-BE49-F238E27FC236}">
                  <a16:creationId xmlns:a16="http://schemas.microsoft.com/office/drawing/2014/main" id="{00000000-0008-0000-0600-00003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Иконки_стимуляторы_специальные_2" spid="_x0000_s926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57250" y="4991100"/>
              <a:ext cx="847725" cy="431890"/>
            </a:xfrm>
            <a:prstGeom prst="rect">
              <a:avLst/>
            </a:prstGeom>
            <a:solidFill>
              <a:srgbClr val="333333" mc:Ignorable="a14" a14:legacySpreadsheetColorIndex="63"/>
            </a:solidFill>
            <a:ln>
              <a:noFill/>
            </a:ln>
            <a:effectLst>
              <a:glow>
                <a:schemeClr val="accent1"/>
              </a:glow>
              <a:reflection stA="99000" endPos="0" dist="50800" dir="5400000" sy="-100000" algn="bl" rotWithShape="0"/>
              <a:softEdge rad="63500"/>
            </a:effectLst>
            <a:extLs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847725</xdr:colOff>
          <xdr:row>5</xdr:row>
          <xdr:rowOff>212815</xdr:rowOff>
        </xdr:to>
        <xdr:pic>
          <xdr:nvPicPr>
            <xdr:cNvPr id="55" name="Picture 37">
              <a:extLst>
                <a:ext uri="{FF2B5EF4-FFF2-40B4-BE49-F238E27FC236}">
                  <a16:creationId xmlns:a16="http://schemas.microsoft.com/office/drawing/2014/main" id="{00000000-0008-0000-0600-00003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Иконки_стимуляторы_1" spid="_x0000_s926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714500" y="4991100"/>
              <a:ext cx="847725" cy="431890"/>
            </a:xfrm>
            <a:prstGeom prst="rect">
              <a:avLst/>
            </a:prstGeom>
            <a:solidFill>
              <a:srgbClr val="333333" mc:Ignorable="a14" a14:legacySpreadsheetColorIndex="63"/>
            </a:solidFill>
            <a:ln>
              <a:noFill/>
            </a:ln>
            <a:effectLst>
              <a:glow>
                <a:schemeClr val="accent1"/>
              </a:glow>
              <a:reflection stA="99000" endPos="0" dist="50800" dir="5400000" sy="-100000" algn="bl" rotWithShape="0"/>
              <a:softEdge rad="63500"/>
            </a:effectLst>
            <a:extLs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5</xdr:col>
          <xdr:colOff>847725</xdr:colOff>
          <xdr:row>5</xdr:row>
          <xdr:rowOff>212815</xdr:rowOff>
        </xdr:to>
        <xdr:pic>
          <xdr:nvPicPr>
            <xdr:cNvPr id="56" name="Picture 37">
              <a:extLst>
                <a:ext uri="{FF2B5EF4-FFF2-40B4-BE49-F238E27FC236}">
                  <a16:creationId xmlns:a16="http://schemas.microsoft.com/office/drawing/2014/main" id="{00000000-0008-0000-0600-00003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Иконки_стимуляторы_2" spid="_x0000_s926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571750" y="4991100"/>
              <a:ext cx="847725" cy="431890"/>
            </a:xfrm>
            <a:prstGeom prst="rect">
              <a:avLst/>
            </a:prstGeom>
            <a:solidFill>
              <a:srgbClr val="333333" mc:Ignorable="a14" a14:legacySpreadsheetColorIndex="63"/>
            </a:solidFill>
            <a:ln>
              <a:noFill/>
            </a:ln>
            <a:effectLst>
              <a:glow>
                <a:schemeClr val="accent1"/>
              </a:glow>
              <a:reflection stA="99000" endPos="0" dist="50800" dir="5400000" sy="-100000" algn="bl" rotWithShape="0"/>
              <a:softEdge rad="63500"/>
            </a:effectLst>
            <a:extLs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6</xdr:col>
          <xdr:colOff>847725</xdr:colOff>
          <xdr:row>5</xdr:row>
          <xdr:rowOff>212815</xdr:rowOff>
        </xdr:to>
        <xdr:pic>
          <xdr:nvPicPr>
            <xdr:cNvPr id="57" name="Picture 37">
              <a:extLst>
                <a:ext uri="{FF2B5EF4-FFF2-40B4-BE49-F238E27FC236}">
                  <a16:creationId xmlns:a16="http://schemas.microsoft.com/office/drawing/2014/main" id="{00000000-0008-0000-0600-000039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Иконки_стимуляторы_3" spid="_x0000_s926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429000" y="4991100"/>
              <a:ext cx="847725" cy="431890"/>
            </a:xfrm>
            <a:prstGeom prst="rect">
              <a:avLst/>
            </a:prstGeom>
            <a:solidFill>
              <a:srgbClr val="333333" mc:Ignorable="a14" a14:legacySpreadsheetColorIndex="63"/>
            </a:solidFill>
            <a:ln>
              <a:noFill/>
            </a:ln>
            <a:effectLst>
              <a:glow>
                <a:schemeClr val="accent1"/>
              </a:glow>
              <a:reflection stA="99000" endPos="0" dist="50800" dir="5400000" sy="-100000" algn="bl" rotWithShape="0"/>
              <a:softEdge rad="63500"/>
            </a:effectLst>
            <a:extLs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7</xdr:col>
          <xdr:colOff>847725</xdr:colOff>
          <xdr:row>5</xdr:row>
          <xdr:rowOff>212815</xdr:rowOff>
        </xdr:to>
        <xdr:pic>
          <xdr:nvPicPr>
            <xdr:cNvPr id="58" name="Picture 37">
              <a:extLst>
                <a:ext uri="{FF2B5EF4-FFF2-40B4-BE49-F238E27FC236}">
                  <a16:creationId xmlns:a16="http://schemas.microsoft.com/office/drawing/2014/main" id="{00000000-0008-0000-0600-00003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Иконки_стимуляторы_4" spid="_x0000_s926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286250" y="4991100"/>
              <a:ext cx="847725" cy="431890"/>
            </a:xfrm>
            <a:prstGeom prst="rect">
              <a:avLst/>
            </a:prstGeom>
            <a:solidFill>
              <a:srgbClr val="333333" mc:Ignorable="a14" a14:legacySpreadsheetColorIndex="63"/>
            </a:solidFill>
            <a:ln>
              <a:noFill/>
            </a:ln>
            <a:effectLst>
              <a:glow>
                <a:schemeClr val="accent1"/>
              </a:glow>
              <a:reflection stA="99000" endPos="0" dist="50800" dir="5400000" sy="-100000" algn="bl" rotWithShape="0"/>
              <a:softEdge rad="63500"/>
            </a:effectLst>
            <a:extLs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8</xdr:col>
          <xdr:colOff>847725</xdr:colOff>
          <xdr:row>5</xdr:row>
          <xdr:rowOff>212815</xdr:rowOff>
        </xdr:to>
        <xdr:pic>
          <xdr:nvPicPr>
            <xdr:cNvPr id="59" name="Picture 37">
              <a:extLst>
                <a:ext uri="{FF2B5EF4-FFF2-40B4-BE49-F238E27FC236}">
                  <a16:creationId xmlns:a16="http://schemas.microsoft.com/office/drawing/2014/main" id="{00000000-0008-0000-0600-00003B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Иконки_стимуляторы_5" spid="_x0000_s926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143500" y="4991100"/>
              <a:ext cx="847725" cy="431890"/>
            </a:xfrm>
            <a:prstGeom prst="rect">
              <a:avLst/>
            </a:prstGeom>
            <a:solidFill>
              <a:srgbClr val="333333" mc:Ignorable="a14" a14:legacySpreadsheetColorIndex="63"/>
            </a:solidFill>
            <a:ln>
              <a:noFill/>
            </a:ln>
            <a:effectLst>
              <a:glow>
                <a:schemeClr val="accent1"/>
              </a:glow>
              <a:reflection stA="99000" endPos="0" dist="50800" dir="5400000" sy="-100000" algn="bl" rotWithShape="0"/>
              <a:softEdge rad="63500"/>
            </a:effectLst>
            <a:extLs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10584</xdr:colOff>
          <xdr:row>4</xdr:row>
          <xdr:rowOff>0</xdr:rowOff>
        </xdr:from>
        <xdr:to>
          <xdr:col>11</xdr:col>
          <xdr:colOff>1059</xdr:colOff>
          <xdr:row>5</xdr:row>
          <xdr:rowOff>212815</xdr:rowOff>
        </xdr:to>
        <xdr:pic>
          <xdr:nvPicPr>
            <xdr:cNvPr id="61" name="Picture 37">
              <a:extLst>
                <a:ext uri="{FF2B5EF4-FFF2-40B4-BE49-F238E27FC236}">
                  <a16:creationId xmlns:a16="http://schemas.microsoft.com/office/drawing/2014/main" id="{00000000-0008-0000-0600-00003D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Иконки_стимуляторы_7" spid="_x0000_s926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154084" y="8826500"/>
              <a:ext cx="847725" cy="435065"/>
            </a:xfrm>
            <a:prstGeom prst="rect">
              <a:avLst/>
            </a:prstGeom>
            <a:solidFill>
              <a:srgbClr val="333333" mc:Ignorable="a14" a14:legacySpreadsheetColorIndex="63"/>
            </a:solidFill>
            <a:ln>
              <a:noFill/>
            </a:ln>
            <a:effectLst>
              <a:glow>
                <a:schemeClr val="accent1"/>
              </a:glow>
              <a:reflection stA="99000" endPos="0" dist="50800" dir="5400000" sy="-100000" algn="bl" rotWithShape="0"/>
              <a:softEdge rad="63500"/>
            </a:effectLst>
            <a:extLs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11</xdr:col>
          <xdr:colOff>847725</xdr:colOff>
          <xdr:row>5</xdr:row>
          <xdr:rowOff>212815</xdr:rowOff>
        </xdr:to>
        <xdr:pic>
          <xdr:nvPicPr>
            <xdr:cNvPr id="62" name="Picture 37">
              <a:extLst>
                <a:ext uri="{FF2B5EF4-FFF2-40B4-BE49-F238E27FC236}">
                  <a16:creationId xmlns:a16="http://schemas.microsoft.com/office/drawing/2014/main" id="{00000000-0008-0000-0600-00003E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Иконки_стимуляторы_8" spid="_x0000_s926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715250" y="4991100"/>
              <a:ext cx="847725" cy="431890"/>
            </a:xfrm>
            <a:prstGeom prst="rect">
              <a:avLst/>
            </a:prstGeom>
            <a:solidFill>
              <a:srgbClr val="333333" mc:Ignorable="a14" a14:legacySpreadsheetColorIndex="63"/>
            </a:solidFill>
            <a:ln>
              <a:noFill/>
            </a:ln>
            <a:effectLst>
              <a:glow>
                <a:schemeClr val="accent1"/>
              </a:glow>
              <a:reflection stA="99000" endPos="0" dist="50800" dir="5400000" sy="-100000" algn="bl" rotWithShape="0"/>
              <a:softEdge rad="63500"/>
            </a:effectLst>
            <a:extLs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12</xdr:col>
          <xdr:colOff>847725</xdr:colOff>
          <xdr:row>5</xdr:row>
          <xdr:rowOff>212815</xdr:rowOff>
        </xdr:to>
        <xdr:pic>
          <xdr:nvPicPr>
            <xdr:cNvPr id="63" name="Picture 37">
              <a:extLst>
                <a:ext uri="{FF2B5EF4-FFF2-40B4-BE49-F238E27FC236}">
                  <a16:creationId xmlns:a16="http://schemas.microsoft.com/office/drawing/2014/main" id="{00000000-0008-0000-0600-00003F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Иконки_стимуляторы_9" spid="_x0000_s926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572500" y="4991100"/>
              <a:ext cx="847725" cy="431890"/>
            </a:xfrm>
            <a:prstGeom prst="rect">
              <a:avLst/>
            </a:prstGeom>
            <a:solidFill>
              <a:srgbClr val="333333" mc:Ignorable="a14" a14:legacySpreadsheetColorIndex="63"/>
            </a:solidFill>
            <a:ln>
              <a:noFill/>
            </a:ln>
            <a:effectLst>
              <a:glow>
                <a:schemeClr val="accent1"/>
              </a:glow>
              <a:reflection stA="99000" endPos="0" dist="50800" dir="5400000" sy="-100000" algn="bl" rotWithShape="0"/>
              <a:softEdge rad="63500"/>
            </a:effectLst>
            <a:extLs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13</xdr:col>
          <xdr:colOff>847725</xdr:colOff>
          <xdr:row>5</xdr:row>
          <xdr:rowOff>212815</xdr:rowOff>
        </xdr:to>
        <xdr:pic>
          <xdr:nvPicPr>
            <xdr:cNvPr id="64" name="Picture 37">
              <a:extLst>
                <a:ext uri="{FF2B5EF4-FFF2-40B4-BE49-F238E27FC236}">
                  <a16:creationId xmlns:a16="http://schemas.microsoft.com/office/drawing/2014/main" id="{00000000-0008-0000-0600-00004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Иконки_стимуляторы_10" spid="_x0000_s926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9429750" y="4991100"/>
              <a:ext cx="847725" cy="431890"/>
            </a:xfrm>
            <a:prstGeom prst="rect">
              <a:avLst/>
            </a:prstGeom>
            <a:solidFill>
              <a:srgbClr val="333333" mc:Ignorable="a14" a14:legacySpreadsheetColorIndex="63"/>
            </a:solidFill>
            <a:ln>
              <a:noFill/>
            </a:ln>
            <a:effectLst>
              <a:glow>
                <a:schemeClr val="accent1"/>
              </a:glow>
              <a:reflection stA="99000" endPos="0" dist="50800" dir="5400000" sy="-100000" algn="bl" rotWithShape="0"/>
              <a:softEdge rad="63500"/>
            </a:effectLst>
            <a:extLs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9</xdr:col>
          <xdr:colOff>847725</xdr:colOff>
          <xdr:row>5</xdr:row>
          <xdr:rowOff>212815</xdr:rowOff>
        </xdr:to>
        <xdr:pic>
          <xdr:nvPicPr>
            <xdr:cNvPr id="44" name="Picture 37">
              <a:extLst>
                <a:ext uri="{FF2B5EF4-FFF2-40B4-BE49-F238E27FC236}">
                  <a16:creationId xmlns:a16="http://schemas.microsoft.com/office/drawing/2014/main" id="{00000000-0008-0000-0600-00002C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Иконки_стимуляторы_6" spid="_x0000_s926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000750" y="4991100"/>
              <a:ext cx="847725" cy="431890"/>
            </a:xfrm>
            <a:prstGeom prst="rect">
              <a:avLst/>
            </a:prstGeom>
            <a:solidFill>
              <a:srgbClr val="333333" mc:Ignorable="a14" a14:legacySpreadsheetColorIndex="63"/>
            </a:solidFill>
            <a:ln>
              <a:noFill/>
            </a:ln>
            <a:effectLst>
              <a:glow>
                <a:schemeClr val="accent1"/>
              </a:glow>
              <a:reflection stA="99000" endPos="0" dist="50800" dir="5400000" sy="-100000" algn="bl" rotWithShape="0"/>
              <a:softEdge rad="63500"/>
            </a:effectLst>
            <a:extLs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2</xdr:col>
          <xdr:colOff>847725</xdr:colOff>
          <xdr:row>5</xdr:row>
          <xdr:rowOff>212815</xdr:rowOff>
        </xdr:to>
        <xdr:pic>
          <xdr:nvPicPr>
            <xdr:cNvPr id="17" name="Picture 37"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Иконки_стимуляторы_специальные_3" spid="_x0000_s926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714500" y="846667"/>
              <a:ext cx="847725" cy="435065"/>
            </a:xfrm>
            <a:prstGeom prst="rect">
              <a:avLst/>
            </a:prstGeom>
            <a:solidFill>
              <a:srgbClr val="333333" mc:Ignorable="a14" a14:legacySpreadsheetColorIndex="63"/>
            </a:solidFill>
            <a:ln>
              <a:noFill/>
            </a:ln>
            <a:effectLst>
              <a:glow>
                <a:schemeClr val="accent1"/>
              </a:glow>
              <a:reflection stA="99000" endPos="0" dist="50800" dir="5400000" sy="-100000" algn="bl" rotWithShape="0"/>
              <a:softEdge rad="63500"/>
            </a:effectLst>
            <a:extLs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14</xdr:row>
      <xdr:rowOff>0</xdr:rowOff>
    </xdr:from>
    <xdr:to>
      <xdr:col>2</xdr:col>
      <xdr:colOff>120</xdr:colOff>
      <xdr:row>15</xdr:row>
      <xdr:rowOff>2439</xdr:rowOff>
    </xdr:to>
    <xdr:pic>
      <xdr:nvPicPr>
        <xdr:cNvPr id="188" name="Рисунок 187">
          <a:extLst>
            <a:ext uri="{FF2B5EF4-FFF2-40B4-BE49-F238E27FC236}">
              <a16:creationId xmlns:a16="http://schemas.microsoft.com/office/drawing/2014/main" id="{00000000-0008-0000-08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0" y="5926667"/>
          <a:ext cx="857370" cy="4257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2</xdr:col>
      <xdr:colOff>120</xdr:colOff>
      <xdr:row>16</xdr:row>
      <xdr:rowOff>2439</xdr:rowOff>
    </xdr:to>
    <xdr:pic>
      <xdr:nvPicPr>
        <xdr:cNvPr id="189" name="Рисунок 188">
          <a:extLst>
            <a:ext uri="{FF2B5EF4-FFF2-40B4-BE49-F238E27FC236}">
              <a16:creationId xmlns:a16="http://schemas.microsoft.com/office/drawing/2014/main" id="{00000000-0008-0000-08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7250" y="6350000"/>
          <a:ext cx="857370" cy="4257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120</xdr:colOff>
      <xdr:row>19</xdr:row>
      <xdr:rowOff>2439</xdr:rowOff>
    </xdr:to>
    <xdr:pic>
      <xdr:nvPicPr>
        <xdr:cNvPr id="190" name="Рисунок 189">
          <a:extLst>
            <a:ext uri="{FF2B5EF4-FFF2-40B4-BE49-F238E27FC236}">
              <a16:creationId xmlns:a16="http://schemas.microsoft.com/office/drawing/2014/main" id="{00000000-0008-0000-08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7250" y="7620000"/>
          <a:ext cx="857370" cy="4257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2</xdr:col>
      <xdr:colOff>120</xdr:colOff>
      <xdr:row>18</xdr:row>
      <xdr:rowOff>2439</xdr:rowOff>
    </xdr:to>
    <xdr:pic>
      <xdr:nvPicPr>
        <xdr:cNvPr id="191" name="Рисунок 190">
          <a:extLst>
            <a:ext uri="{FF2B5EF4-FFF2-40B4-BE49-F238E27FC236}">
              <a16:creationId xmlns:a16="http://schemas.microsoft.com/office/drawing/2014/main" id="{00000000-0008-0000-08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7250" y="7196667"/>
          <a:ext cx="857370" cy="4257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120</xdr:colOff>
      <xdr:row>20</xdr:row>
      <xdr:rowOff>2439</xdr:rowOff>
    </xdr:to>
    <xdr:pic>
      <xdr:nvPicPr>
        <xdr:cNvPr id="192" name="Рисунок 191">
          <a:extLst>
            <a:ext uri="{FF2B5EF4-FFF2-40B4-BE49-F238E27FC236}">
              <a16:creationId xmlns:a16="http://schemas.microsoft.com/office/drawing/2014/main" id="{00000000-0008-0000-08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57250" y="8043333"/>
          <a:ext cx="857370" cy="4257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2</xdr:col>
      <xdr:colOff>120</xdr:colOff>
      <xdr:row>17</xdr:row>
      <xdr:rowOff>2440</xdr:rowOff>
    </xdr:to>
    <xdr:pic>
      <xdr:nvPicPr>
        <xdr:cNvPr id="193" name="Рисунок 192">
          <a:extLst>
            <a:ext uri="{FF2B5EF4-FFF2-40B4-BE49-F238E27FC236}">
              <a16:creationId xmlns:a16="http://schemas.microsoft.com/office/drawing/2014/main" id="{00000000-0008-0000-08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57250" y="6773333"/>
          <a:ext cx="857370" cy="425774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12</xdr:row>
      <xdr:rowOff>0</xdr:rowOff>
    </xdr:from>
    <xdr:ext cx="857370" cy="425773"/>
    <xdr:pic>
      <xdr:nvPicPr>
        <xdr:cNvPr id="194" name="Рисунок 193">
          <a:extLst>
            <a:ext uri="{FF2B5EF4-FFF2-40B4-BE49-F238E27FC236}">
              <a16:creationId xmlns:a16="http://schemas.microsoft.com/office/drawing/2014/main" id="{00000000-0008-0000-08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57250" y="5080000"/>
          <a:ext cx="857370" cy="425773"/>
        </a:xfrm>
        <a:prstGeom prst="rect">
          <a:avLst/>
        </a:prstGeom>
      </xdr:spPr>
    </xdr:pic>
    <xdr:clientData/>
  </xdr:oneCellAnchor>
  <xdr:twoCellAnchor editAs="oneCell">
    <xdr:from>
      <xdr:col>1</xdr:col>
      <xdr:colOff>0</xdr:colOff>
      <xdr:row>13</xdr:row>
      <xdr:rowOff>0</xdr:rowOff>
    </xdr:from>
    <xdr:to>
      <xdr:col>2</xdr:col>
      <xdr:colOff>120</xdr:colOff>
      <xdr:row>14</xdr:row>
      <xdr:rowOff>2439</xdr:rowOff>
    </xdr:to>
    <xdr:pic>
      <xdr:nvPicPr>
        <xdr:cNvPr id="195" name="Рисунок 194">
          <a:extLst>
            <a:ext uri="{FF2B5EF4-FFF2-40B4-BE49-F238E27FC236}">
              <a16:creationId xmlns:a16="http://schemas.microsoft.com/office/drawing/2014/main" id="{00000000-0008-0000-08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57250" y="5503333"/>
          <a:ext cx="857370" cy="4257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2</xdr:col>
      <xdr:colOff>120</xdr:colOff>
      <xdr:row>22</xdr:row>
      <xdr:rowOff>2439</xdr:rowOff>
    </xdr:to>
    <xdr:pic>
      <xdr:nvPicPr>
        <xdr:cNvPr id="204" name="Рисунок 203">
          <a:extLst>
            <a:ext uri="{FF2B5EF4-FFF2-40B4-BE49-F238E27FC236}">
              <a16:creationId xmlns:a16="http://schemas.microsoft.com/office/drawing/2014/main" id="{00000000-0008-0000-08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57250" y="8890000"/>
          <a:ext cx="857370" cy="4257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2</xdr:col>
      <xdr:colOff>120</xdr:colOff>
      <xdr:row>24</xdr:row>
      <xdr:rowOff>2439</xdr:rowOff>
    </xdr:to>
    <xdr:pic>
      <xdr:nvPicPr>
        <xdr:cNvPr id="205" name="Рисунок 204">
          <a:extLst>
            <a:ext uri="{FF2B5EF4-FFF2-40B4-BE49-F238E27FC236}">
              <a16:creationId xmlns:a16="http://schemas.microsoft.com/office/drawing/2014/main" id="{00000000-0008-0000-08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57250" y="9736667"/>
          <a:ext cx="857370" cy="4257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120</xdr:colOff>
      <xdr:row>26</xdr:row>
      <xdr:rowOff>2439</xdr:rowOff>
    </xdr:to>
    <xdr:pic>
      <xdr:nvPicPr>
        <xdr:cNvPr id="206" name="Рисунок 205">
          <a:extLst>
            <a:ext uri="{FF2B5EF4-FFF2-40B4-BE49-F238E27FC236}">
              <a16:creationId xmlns:a16="http://schemas.microsoft.com/office/drawing/2014/main" id="{00000000-0008-0000-08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57250" y="10583333"/>
          <a:ext cx="857370" cy="4257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2</xdr:col>
      <xdr:colOff>120</xdr:colOff>
      <xdr:row>23</xdr:row>
      <xdr:rowOff>2439</xdr:rowOff>
    </xdr:to>
    <xdr:pic>
      <xdr:nvPicPr>
        <xdr:cNvPr id="207" name="Рисунок 206">
          <a:extLst>
            <a:ext uri="{FF2B5EF4-FFF2-40B4-BE49-F238E27FC236}">
              <a16:creationId xmlns:a16="http://schemas.microsoft.com/office/drawing/2014/main" id="{00000000-0008-0000-08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57250" y="9313333"/>
          <a:ext cx="857370" cy="4257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120</xdr:colOff>
      <xdr:row>29</xdr:row>
      <xdr:rowOff>2440</xdr:rowOff>
    </xdr:to>
    <xdr:pic>
      <xdr:nvPicPr>
        <xdr:cNvPr id="208" name="Рисунок 207">
          <a:extLst>
            <a:ext uri="{FF2B5EF4-FFF2-40B4-BE49-F238E27FC236}">
              <a16:creationId xmlns:a16="http://schemas.microsoft.com/office/drawing/2014/main" id="{00000000-0008-0000-08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57250" y="11811000"/>
          <a:ext cx="857370" cy="42426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120</xdr:colOff>
      <xdr:row>27</xdr:row>
      <xdr:rowOff>2439</xdr:rowOff>
    </xdr:to>
    <xdr:pic>
      <xdr:nvPicPr>
        <xdr:cNvPr id="209" name="Рисунок 208">
          <a:extLst>
            <a:ext uri="{FF2B5EF4-FFF2-40B4-BE49-F238E27FC236}">
              <a16:creationId xmlns:a16="http://schemas.microsoft.com/office/drawing/2014/main" id="{00000000-0008-0000-08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57250" y="11006667"/>
          <a:ext cx="857370" cy="4257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2</xdr:col>
      <xdr:colOff>120</xdr:colOff>
      <xdr:row>25</xdr:row>
      <xdr:rowOff>2440</xdr:rowOff>
    </xdr:to>
    <xdr:pic>
      <xdr:nvPicPr>
        <xdr:cNvPr id="210" name="Рисунок 209">
          <a:extLst>
            <a:ext uri="{FF2B5EF4-FFF2-40B4-BE49-F238E27FC236}">
              <a16:creationId xmlns:a16="http://schemas.microsoft.com/office/drawing/2014/main" id="{00000000-0008-0000-08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57250" y="10160000"/>
          <a:ext cx="857370" cy="4257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120</xdr:colOff>
      <xdr:row>28</xdr:row>
      <xdr:rowOff>2439</xdr:rowOff>
    </xdr:to>
    <xdr:pic>
      <xdr:nvPicPr>
        <xdr:cNvPr id="211" name="Рисунок 210">
          <a:extLst>
            <a:ext uri="{FF2B5EF4-FFF2-40B4-BE49-F238E27FC236}">
              <a16:creationId xmlns:a16="http://schemas.microsoft.com/office/drawing/2014/main" id="{00000000-0008-0000-08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857250" y="11430000"/>
          <a:ext cx="857370" cy="4257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2</xdr:col>
      <xdr:colOff>120</xdr:colOff>
      <xdr:row>31</xdr:row>
      <xdr:rowOff>2439</xdr:rowOff>
    </xdr:to>
    <xdr:pic>
      <xdr:nvPicPr>
        <xdr:cNvPr id="264" name="Рисунок 263">
          <a:extLst>
            <a:ext uri="{FF2B5EF4-FFF2-40B4-BE49-F238E27FC236}">
              <a16:creationId xmlns:a16="http://schemas.microsoft.com/office/drawing/2014/main" id="{00000000-0008-0000-08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57250" y="12700000"/>
          <a:ext cx="857370" cy="4257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2</xdr:col>
      <xdr:colOff>120</xdr:colOff>
      <xdr:row>39</xdr:row>
      <xdr:rowOff>2440</xdr:rowOff>
    </xdr:to>
    <xdr:pic>
      <xdr:nvPicPr>
        <xdr:cNvPr id="265" name="Рисунок 264">
          <a:extLst>
            <a:ext uri="{FF2B5EF4-FFF2-40B4-BE49-F238E27FC236}">
              <a16:creationId xmlns:a16="http://schemas.microsoft.com/office/drawing/2014/main" id="{00000000-0008-0000-08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57250" y="15663333"/>
          <a:ext cx="857370" cy="4257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2</xdr:col>
      <xdr:colOff>120</xdr:colOff>
      <xdr:row>38</xdr:row>
      <xdr:rowOff>2439</xdr:rowOff>
    </xdr:to>
    <xdr:pic>
      <xdr:nvPicPr>
        <xdr:cNvPr id="266" name="Рисунок 265">
          <a:extLst>
            <a:ext uri="{FF2B5EF4-FFF2-40B4-BE49-F238E27FC236}">
              <a16:creationId xmlns:a16="http://schemas.microsoft.com/office/drawing/2014/main" id="{00000000-0008-0000-08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57250" y="15240000"/>
          <a:ext cx="857370" cy="4257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2</xdr:col>
      <xdr:colOff>120</xdr:colOff>
      <xdr:row>37</xdr:row>
      <xdr:rowOff>58</xdr:rowOff>
    </xdr:to>
    <xdr:pic>
      <xdr:nvPicPr>
        <xdr:cNvPr id="267" name="Рисунок 266">
          <a:extLst>
            <a:ext uri="{FF2B5EF4-FFF2-40B4-BE49-F238E27FC236}">
              <a16:creationId xmlns:a16="http://schemas.microsoft.com/office/drawing/2014/main" id="{00000000-0008-0000-08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57250" y="14816667"/>
          <a:ext cx="857370" cy="42339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2</xdr:col>
      <xdr:colOff>120</xdr:colOff>
      <xdr:row>41</xdr:row>
      <xdr:rowOff>57</xdr:rowOff>
    </xdr:to>
    <xdr:pic>
      <xdr:nvPicPr>
        <xdr:cNvPr id="268" name="Рисунок 267">
          <a:extLst>
            <a:ext uri="{FF2B5EF4-FFF2-40B4-BE49-F238E27FC236}">
              <a16:creationId xmlns:a16="http://schemas.microsoft.com/office/drawing/2014/main" id="{00000000-0008-0000-08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57250" y="16510000"/>
          <a:ext cx="857370" cy="42339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2</xdr:col>
      <xdr:colOff>120</xdr:colOff>
      <xdr:row>40</xdr:row>
      <xdr:rowOff>58</xdr:rowOff>
    </xdr:to>
    <xdr:pic>
      <xdr:nvPicPr>
        <xdr:cNvPr id="269" name="Рисунок 268">
          <a:extLst>
            <a:ext uri="{FF2B5EF4-FFF2-40B4-BE49-F238E27FC236}">
              <a16:creationId xmlns:a16="http://schemas.microsoft.com/office/drawing/2014/main" id="{00000000-0008-0000-08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857250" y="16086667"/>
          <a:ext cx="857370" cy="42339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2</xdr:col>
      <xdr:colOff>120</xdr:colOff>
      <xdr:row>42</xdr:row>
      <xdr:rowOff>59</xdr:rowOff>
    </xdr:to>
    <xdr:pic>
      <xdr:nvPicPr>
        <xdr:cNvPr id="270" name="Рисунок 269">
          <a:extLst>
            <a:ext uri="{FF2B5EF4-FFF2-40B4-BE49-F238E27FC236}">
              <a16:creationId xmlns:a16="http://schemas.microsoft.com/office/drawing/2014/main" id="{00000000-0008-0000-08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57250" y="16933333"/>
          <a:ext cx="857370" cy="42339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34</xdr:row>
      <xdr:rowOff>0</xdr:rowOff>
    </xdr:from>
    <xdr:to>
      <xdr:col>2</xdr:col>
      <xdr:colOff>120</xdr:colOff>
      <xdr:row>35</xdr:row>
      <xdr:rowOff>57</xdr:rowOff>
    </xdr:to>
    <xdr:pic>
      <xdr:nvPicPr>
        <xdr:cNvPr id="271" name="Рисунок 270">
          <a:extLst>
            <a:ext uri="{FF2B5EF4-FFF2-40B4-BE49-F238E27FC236}">
              <a16:creationId xmlns:a16="http://schemas.microsoft.com/office/drawing/2014/main" id="{00000000-0008-0000-08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57250" y="13970000"/>
          <a:ext cx="857370" cy="42339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2</xdr:col>
      <xdr:colOff>120</xdr:colOff>
      <xdr:row>36</xdr:row>
      <xdr:rowOff>59</xdr:rowOff>
    </xdr:to>
    <xdr:pic>
      <xdr:nvPicPr>
        <xdr:cNvPr id="272" name="Рисунок 271">
          <a:extLst>
            <a:ext uri="{FF2B5EF4-FFF2-40B4-BE49-F238E27FC236}">
              <a16:creationId xmlns:a16="http://schemas.microsoft.com/office/drawing/2014/main" id="{00000000-0008-0000-08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7250" y="14393333"/>
          <a:ext cx="857370" cy="42339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2</xdr:col>
      <xdr:colOff>120</xdr:colOff>
      <xdr:row>46</xdr:row>
      <xdr:rowOff>58</xdr:rowOff>
    </xdr:to>
    <xdr:pic>
      <xdr:nvPicPr>
        <xdr:cNvPr id="273" name="Рисунок 272">
          <a:extLst>
            <a:ext uri="{FF2B5EF4-FFF2-40B4-BE49-F238E27FC236}">
              <a16:creationId xmlns:a16="http://schemas.microsoft.com/office/drawing/2014/main" id="{00000000-0008-0000-08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7250" y="18626667"/>
          <a:ext cx="857370" cy="42339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47</xdr:row>
      <xdr:rowOff>0</xdr:rowOff>
    </xdr:from>
    <xdr:to>
      <xdr:col>2</xdr:col>
      <xdr:colOff>120</xdr:colOff>
      <xdr:row>48</xdr:row>
      <xdr:rowOff>59</xdr:rowOff>
    </xdr:to>
    <xdr:pic>
      <xdr:nvPicPr>
        <xdr:cNvPr id="274" name="Рисунок 273">
          <a:extLst>
            <a:ext uri="{FF2B5EF4-FFF2-40B4-BE49-F238E27FC236}">
              <a16:creationId xmlns:a16="http://schemas.microsoft.com/office/drawing/2014/main" id="{00000000-0008-0000-08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7250" y="19473333"/>
          <a:ext cx="857370" cy="42339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2</xdr:col>
      <xdr:colOff>120</xdr:colOff>
      <xdr:row>44</xdr:row>
      <xdr:rowOff>57</xdr:rowOff>
    </xdr:to>
    <xdr:pic>
      <xdr:nvPicPr>
        <xdr:cNvPr id="275" name="Рисунок 274">
          <a:extLst>
            <a:ext uri="{FF2B5EF4-FFF2-40B4-BE49-F238E27FC236}">
              <a16:creationId xmlns:a16="http://schemas.microsoft.com/office/drawing/2014/main" id="{00000000-0008-0000-08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57250" y="17780000"/>
          <a:ext cx="857370" cy="42339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46</xdr:row>
      <xdr:rowOff>0</xdr:rowOff>
    </xdr:from>
    <xdr:to>
      <xdr:col>2</xdr:col>
      <xdr:colOff>120</xdr:colOff>
      <xdr:row>47</xdr:row>
      <xdr:rowOff>57</xdr:rowOff>
    </xdr:to>
    <xdr:pic>
      <xdr:nvPicPr>
        <xdr:cNvPr id="276" name="Рисунок 275">
          <a:extLst>
            <a:ext uri="{FF2B5EF4-FFF2-40B4-BE49-F238E27FC236}">
              <a16:creationId xmlns:a16="http://schemas.microsoft.com/office/drawing/2014/main" id="{00000000-0008-0000-08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57250" y="19050000"/>
          <a:ext cx="857370" cy="42339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2</xdr:col>
      <xdr:colOff>120</xdr:colOff>
      <xdr:row>45</xdr:row>
      <xdr:rowOff>59</xdr:rowOff>
    </xdr:to>
    <xdr:pic>
      <xdr:nvPicPr>
        <xdr:cNvPr id="277" name="Рисунок 276">
          <a:extLst>
            <a:ext uri="{FF2B5EF4-FFF2-40B4-BE49-F238E27FC236}">
              <a16:creationId xmlns:a16="http://schemas.microsoft.com/office/drawing/2014/main" id="{00000000-0008-0000-08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57250" y="18203333"/>
          <a:ext cx="857370" cy="42339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2</xdr:col>
      <xdr:colOff>120</xdr:colOff>
      <xdr:row>50</xdr:row>
      <xdr:rowOff>57</xdr:rowOff>
    </xdr:to>
    <xdr:pic>
      <xdr:nvPicPr>
        <xdr:cNvPr id="278" name="Рисунок 277">
          <a:extLst>
            <a:ext uri="{FF2B5EF4-FFF2-40B4-BE49-F238E27FC236}">
              <a16:creationId xmlns:a16="http://schemas.microsoft.com/office/drawing/2014/main" id="{00000000-0008-0000-08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57250" y="20320000"/>
          <a:ext cx="857370" cy="42339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48</xdr:row>
      <xdr:rowOff>0</xdr:rowOff>
    </xdr:from>
    <xdr:to>
      <xdr:col>2</xdr:col>
      <xdr:colOff>120</xdr:colOff>
      <xdr:row>49</xdr:row>
      <xdr:rowOff>58</xdr:rowOff>
    </xdr:to>
    <xdr:pic>
      <xdr:nvPicPr>
        <xdr:cNvPr id="279" name="Рисунок 278">
          <a:extLst>
            <a:ext uri="{FF2B5EF4-FFF2-40B4-BE49-F238E27FC236}">
              <a16:creationId xmlns:a16="http://schemas.microsoft.com/office/drawing/2014/main" id="{00000000-0008-0000-08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57250" y="19896667"/>
          <a:ext cx="857370" cy="42339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2</xdr:col>
      <xdr:colOff>120</xdr:colOff>
      <xdr:row>51</xdr:row>
      <xdr:rowOff>59</xdr:rowOff>
    </xdr:to>
    <xdr:pic>
      <xdr:nvPicPr>
        <xdr:cNvPr id="280" name="Рисунок 279">
          <a:extLst>
            <a:ext uri="{FF2B5EF4-FFF2-40B4-BE49-F238E27FC236}">
              <a16:creationId xmlns:a16="http://schemas.microsoft.com/office/drawing/2014/main" id="{00000000-0008-0000-08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57250" y="20743333"/>
          <a:ext cx="857370" cy="42339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2</xdr:col>
      <xdr:colOff>120</xdr:colOff>
      <xdr:row>53</xdr:row>
      <xdr:rowOff>57</xdr:rowOff>
    </xdr:to>
    <xdr:pic>
      <xdr:nvPicPr>
        <xdr:cNvPr id="281" name="Рисунок 280">
          <a:extLst>
            <a:ext uri="{FF2B5EF4-FFF2-40B4-BE49-F238E27FC236}">
              <a16:creationId xmlns:a16="http://schemas.microsoft.com/office/drawing/2014/main" id="{00000000-0008-0000-08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57250" y="21590000"/>
          <a:ext cx="857370" cy="42339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2</xdr:col>
      <xdr:colOff>120</xdr:colOff>
      <xdr:row>55</xdr:row>
      <xdr:rowOff>58</xdr:rowOff>
    </xdr:to>
    <xdr:pic>
      <xdr:nvPicPr>
        <xdr:cNvPr id="282" name="Рисунок 281">
          <a:extLst>
            <a:ext uri="{FF2B5EF4-FFF2-40B4-BE49-F238E27FC236}">
              <a16:creationId xmlns:a16="http://schemas.microsoft.com/office/drawing/2014/main" id="{00000000-0008-0000-08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57250" y="22436667"/>
          <a:ext cx="857370" cy="42339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2</xdr:col>
      <xdr:colOff>120</xdr:colOff>
      <xdr:row>54</xdr:row>
      <xdr:rowOff>59</xdr:rowOff>
    </xdr:to>
    <xdr:pic>
      <xdr:nvPicPr>
        <xdr:cNvPr id="283" name="Рисунок 282">
          <a:extLst>
            <a:ext uri="{FF2B5EF4-FFF2-40B4-BE49-F238E27FC236}">
              <a16:creationId xmlns:a16="http://schemas.microsoft.com/office/drawing/2014/main" id="{00000000-0008-0000-08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857250" y="22013333"/>
          <a:ext cx="857370" cy="42339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55</xdr:row>
      <xdr:rowOff>0</xdr:rowOff>
    </xdr:from>
    <xdr:to>
      <xdr:col>2</xdr:col>
      <xdr:colOff>120</xdr:colOff>
      <xdr:row>56</xdr:row>
      <xdr:rowOff>57</xdr:rowOff>
    </xdr:to>
    <xdr:pic>
      <xdr:nvPicPr>
        <xdr:cNvPr id="284" name="Рисунок 283">
          <a:extLst>
            <a:ext uri="{FF2B5EF4-FFF2-40B4-BE49-F238E27FC236}">
              <a16:creationId xmlns:a16="http://schemas.microsoft.com/office/drawing/2014/main" id="{00000000-0008-0000-08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857250" y="22860000"/>
          <a:ext cx="857370" cy="42339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56</xdr:row>
      <xdr:rowOff>0</xdr:rowOff>
    </xdr:from>
    <xdr:to>
      <xdr:col>2</xdr:col>
      <xdr:colOff>120</xdr:colOff>
      <xdr:row>57</xdr:row>
      <xdr:rowOff>59</xdr:rowOff>
    </xdr:to>
    <xdr:pic>
      <xdr:nvPicPr>
        <xdr:cNvPr id="285" name="Рисунок 284">
          <a:extLst>
            <a:ext uri="{FF2B5EF4-FFF2-40B4-BE49-F238E27FC236}">
              <a16:creationId xmlns:a16="http://schemas.microsoft.com/office/drawing/2014/main" id="{00000000-0008-0000-08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857250" y="23283333"/>
          <a:ext cx="857370" cy="42339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58</xdr:row>
      <xdr:rowOff>0</xdr:rowOff>
    </xdr:from>
    <xdr:to>
      <xdr:col>2</xdr:col>
      <xdr:colOff>120</xdr:colOff>
      <xdr:row>59</xdr:row>
      <xdr:rowOff>57</xdr:rowOff>
    </xdr:to>
    <xdr:pic>
      <xdr:nvPicPr>
        <xdr:cNvPr id="286" name="Рисунок 285">
          <a:extLst>
            <a:ext uri="{FF2B5EF4-FFF2-40B4-BE49-F238E27FC236}">
              <a16:creationId xmlns:a16="http://schemas.microsoft.com/office/drawing/2014/main" id="{00000000-0008-0000-08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857250" y="24130000"/>
          <a:ext cx="857370" cy="42339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57</xdr:row>
      <xdr:rowOff>0</xdr:rowOff>
    </xdr:from>
    <xdr:to>
      <xdr:col>2</xdr:col>
      <xdr:colOff>120</xdr:colOff>
      <xdr:row>58</xdr:row>
      <xdr:rowOff>58</xdr:rowOff>
    </xdr:to>
    <xdr:pic>
      <xdr:nvPicPr>
        <xdr:cNvPr id="287" name="Рисунок 286">
          <a:extLst>
            <a:ext uri="{FF2B5EF4-FFF2-40B4-BE49-F238E27FC236}">
              <a16:creationId xmlns:a16="http://schemas.microsoft.com/office/drawing/2014/main" id="{00000000-0008-0000-08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857250" y="23706667"/>
          <a:ext cx="857370" cy="42339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59</xdr:row>
      <xdr:rowOff>0</xdr:rowOff>
    </xdr:from>
    <xdr:to>
      <xdr:col>2</xdr:col>
      <xdr:colOff>120</xdr:colOff>
      <xdr:row>60</xdr:row>
      <xdr:rowOff>59</xdr:rowOff>
    </xdr:to>
    <xdr:pic>
      <xdr:nvPicPr>
        <xdr:cNvPr id="288" name="Рисунок 287">
          <a:extLst>
            <a:ext uri="{FF2B5EF4-FFF2-40B4-BE49-F238E27FC236}">
              <a16:creationId xmlns:a16="http://schemas.microsoft.com/office/drawing/2014/main" id="{00000000-0008-0000-08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857250" y="24553333"/>
          <a:ext cx="857370" cy="42339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61</xdr:row>
      <xdr:rowOff>0</xdr:rowOff>
    </xdr:from>
    <xdr:to>
      <xdr:col>2</xdr:col>
      <xdr:colOff>120</xdr:colOff>
      <xdr:row>62</xdr:row>
      <xdr:rowOff>2439</xdr:rowOff>
    </xdr:to>
    <xdr:pic>
      <xdr:nvPicPr>
        <xdr:cNvPr id="289" name="Рисунок 288">
          <a:extLst>
            <a:ext uri="{FF2B5EF4-FFF2-40B4-BE49-F238E27FC236}">
              <a16:creationId xmlns:a16="http://schemas.microsoft.com/office/drawing/2014/main" id="{00000000-0008-0000-08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57250" y="25400000"/>
          <a:ext cx="857370" cy="4257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69</xdr:row>
      <xdr:rowOff>0</xdr:rowOff>
    </xdr:from>
    <xdr:to>
      <xdr:col>2</xdr:col>
      <xdr:colOff>120</xdr:colOff>
      <xdr:row>70</xdr:row>
      <xdr:rowOff>2440</xdr:rowOff>
    </xdr:to>
    <xdr:pic>
      <xdr:nvPicPr>
        <xdr:cNvPr id="290" name="Рисунок 289">
          <a:extLst>
            <a:ext uri="{FF2B5EF4-FFF2-40B4-BE49-F238E27FC236}">
              <a16:creationId xmlns:a16="http://schemas.microsoft.com/office/drawing/2014/main" id="{00000000-0008-0000-08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857250" y="28363333"/>
          <a:ext cx="857370" cy="4257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68</xdr:row>
      <xdr:rowOff>0</xdr:rowOff>
    </xdr:from>
    <xdr:to>
      <xdr:col>2</xdr:col>
      <xdr:colOff>120</xdr:colOff>
      <xdr:row>69</xdr:row>
      <xdr:rowOff>2439</xdr:rowOff>
    </xdr:to>
    <xdr:pic>
      <xdr:nvPicPr>
        <xdr:cNvPr id="291" name="Рисунок 290">
          <a:extLst>
            <a:ext uri="{FF2B5EF4-FFF2-40B4-BE49-F238E27FC236}">
              <a16:creationId xmlns:a16="http://schemas.microsoft.com/office/drawing/2014/main" id="{00000000-0008-0000-08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57250" y="27940000"/>
          <a:ext cx="857370" cy="4257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66</xdr:row>
      <xdr:rowOff>0</xdr:rowOff>
    </xdr:from>
    <xdr:to>
      <xdr:col>2</xdr:col>
      <xdr:colOff>120</xdr:colOff>
      <xdr:row>67</xdr:row>
      <xdr:rowOff>2441</xdr:rowOff>
    </xdr:to>
    <xdr:pic>
      <xdr:nvPicPr>
        <xdr:cNvPr id="292" name="Рисунок 291">
          <a:extLst>
            <a:ext uri="{FF2B5EF4-FFF2-40B4-BE49-F238E27FC236}">
              <a16:creationId xmlns:a16="http://schemas.microsoft.com/office/drawing/2014/main" id="{00000000-0008-0000-08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57250" y="27093333"/>
          <a:ext cx="857370" cy="42577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70</xdr:row>
      <xdr:rowOff>0</xdr:rowOff>
    </xdr:from>
    <xdr:to>
      <xdr:col>2</xdr:col>
      <xdr:colOff>120</xdr:colOff>
      <xdr:row>71</xdr:row>
      <xdr:rowOff>2439</xdr:rowOff>
    </xdr:to>
    <xdr:pic>
      <xdr:nvPicPr>
        <xdr:cNvPr id="293" name="Рисунок 292">
          <a:extLst>
            <a:ext uri="{FF2B5EF4-FFF2-40B4-BE49-F238E27FC236}">
              <a16:creationId xmlns:a16="http://schemas.microsoft.com/office/drawing/2014/main" id="{00000000-0008-0000-08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857250" y="28786667"/>
          <a:ext cx="857370" cy="4257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71</xdr:row>
      <xdr:rowOff>0</xdr:rowOff>
    </xdr:from>
    <xdr:to>
      <xdr:col>2</xdr:col>
      <xdr:colOff>120</xdr:colOff>
      <xdr:row>72</xdr:row>
      <xdr:rowOff>2439</xdr:rowOff>
    </xdr:to>
    <xdr:pic>
      <xdr:nvPicPr>
        <xdr:cNvPr id="294" name="Рисунок 293">
          <a:extLst>
            <a:ext uri="{FF2B5EF4-FFF2-40B4-BE49-F238E27FC236}">
              <a16:creationId xmlns:a16="http://schemas.microsoft.com/office/drawing/2014/main" id="{00000000-0008-0000-08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857250" y="29210000"/>
          <a:ext cx="857370" cy="4257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72</xdr:row>
      <xdr:rowOff>0</xdr:rowOff>
    </xdr:from>
    <xdr:to>
      <xdr:col>2</xdr:col>
      <xdr:colOff>120</xdr:colOff>
      <xdr:row>73</xdr:row>
      <xdr:rowOff>2440</xdr:rowOff>
    </xdr:to>
    <xdr:pic>
      <xdr:nvPicPr>
        <xdr:cNvPr id="295" name="Рисунок 294">
          <a:extLst>
            <a:ext uri="{FF2B5EF4-FFF2-40B4-BE49-F238E27FC236}">
              <a16:creationId xmlns:a16="http://schemas.microsoft.com/office/drawing/2014/main" id="{00000000-0008-0000-08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857250" y="29633333"/>
          <a:ext cx="857370" cy="4257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67</xdr:row>
      <xdr:rowOff>0</xdr:rowOff>
    </xdr:from>
    <xdr:to>
      <xdr:col>2</xdr:col>
      <xdr:colOff>120</xdr:colOff>
      <xdr:row>68</xdr:row>
      <xdr:rowOff>2438</xdr:rowOff>
    </xdr:to>
    <xdr:pic>
      <xdr:nvPicPr>
        <xdr:cNvPr id="296" name="Рисунок 295">
          <a:extLst>
            <a:ext uri="{FF2B5EF4-FFF2-40B4-BE49-F238E27FC236}">
              <a16:creationId xmlns:a16="http://schemas.microsoft.com/office/drawing/2014/main" id="{00000000-0008-0000-08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857250" y="27516667"/>
          <a:ext cx="857370" cy="4257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65</xdr:row>
      <xdr:rowOff>0</xdr:rowOff>
    </xdr:from>
    <xdr:to>
      <xdr:col>2</xdr:col>
      <xdr:colOff>120</xdr:colOff>
      <xdr:row>66</xdr:row>
      <xdr:rowOff>2439</xdr:rowOff>
    </xdr:to>
    <xdr:pic>
      <xdr:nvPicPr>
        <xdr:cNvPr id="297" name="Рисунок 296">
          <a:extLst>
            <a:ext uri="{FF2B5EF4-FFF2-40B4-BE49-F238E27FC236}">
              <a16:creationId xmlns:a16="http://schemas.microsoft.com/office/drawing/2014/main" id="{00000000-0008-0000-08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857250" y="26670000"/>
          <a:ext cx="857370" cy="4257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2</xdr:col>
      <xdr:colOff>120</xdr:colOff>
      <xdr:row>75</xdr:row>
      <xdr:rowOff>2440</xdr:rowOff>
    </xdr:to>
    <xdr:pic>
      <xdr:nvPicPr>
        <xdr:cNvPr id="298" name="Рисунок 297">
          <a:extLst>
            <a:ext uri="{FF2B5EF4-FFF2-40B4-BE49-F238E27FC236}">
              <a16:creationId xmlns:a16="http://schemas.microsoft.com/office/drawing/2014/main" id="{00000000-0008-0000-08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857250" y="30480000"/>
          <a:ext cx="857370" cy="4257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77</xdr:row>
      <xdr:rowOff>0</xdr:rowOff>
    </xdr:from>
    <xdr:to>
      <xdr:col>2</xdr:col>
      <xdr:colOff>120</xdr:colOff>
      <xdr:row>78</xdr:row>
      <xdr:rowOff>2439</xdr:rowOff>
    </xdr:to>
    <xdr:pic>
      <xdr:nvPicPr>
        <xdr:cNvPr id="299" name="Рисунок 298">
          <a:extLst>
            <a:ext uri="{FF2B5EF4-FFF2-40B4-BE49-F238E27FC236}">
              <a16:creationId xmlns:a16="http://schemas.microsoft.com/office/drawing/2014/main" id="{00000000-0008-0000-08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857250" y="31750000"/>
          <a:ext cx="857370" cy="4257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75</xdr:row>
      <xdr:rowOff>0</xdr:rowOff>
    </xdr:from>
    <xdr:to>
      <xdr:col>2</xdr:col>
      <xdr:colOff>120</xdr:colOff>
      <xdr:row>76</xdr:row>
      <xdr:rowOff>2440</xdr:rowOff>
    </xdr:to>
    <xdr:pic>
      <xdr:nvPicPr>
        <xdr:cNvPr id="300" name="Рисунок 299">
          <a:extLst>
            <a:ext uri="{FF2B5EF4-FFF2-40B4-BE49-F238E27FC236}">
              <a16:creationId xmlns:a16="http://schemas.microsoft.com/office/drawing/2014/main" id="{00000000-0008-0000-08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857250" y="30903333"/>
          <a:ext cx="857370" cy="4257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76</xdr:row>
      <xdr:rowOff>0</xdr:rowOff>
    </xdr:from>
    <xdr:to>
      <xdr:col>2</xdr:col>
      <xdr:colOff>120</xdr:colOff>
      <xdr:row>77</xdr:row>
      <xdr:rowOff>2438</xdr:rowOff>
    </xdr:to>
    <xdr:pic>
      <xdr:nvPicPr>
        <xdr:cNvPr id="301" name="Рисунок 300">
          <a:extLst>
            <a:ext uri="{FF2B5EF4-FFF2-40B4-BE49-F238E27FC236}">
              <a16:creationId xmlns:a16="http://schemas.microsoft.com/office/drawing/2014/main" id="{00000000-0008-0000-08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857250" y="31326667"/>
          <a:ext cx="857370" cy="4257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78</xdr:row>
      <xdr:rowOff>0</xdr:rowOff>
    </xdr:from>
    <xdr:to>
      <xdr:col>2</xdr:col>
      <xdr:colOff>120</xdr:colOff>
      <xdr:row>79</xdr:row>
      <xdr:rowOff>2441</xdr:rowOff>
    </xdr:to>
    <xdr:pic>
      <xdr:nvPicPr>
        <xdr:cNvPr id="302" name="Рисунок 301">
          <a:extLst>
            <a:ext uri="{FF2B5EF4-FFF2-40B4-BE49-F238E27FC236}">
              <a16:creationId xmlns:a16="http://schemas.microsoft.com/office/drawing/2014/main" id="{00000000-0008-0000-08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857250" y="32173333"/>
          <a:ext cx="857370" cy="42577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79</xdr:row>
      <xdr:rowOff>0</xdr:rowOff>
    </xdr:from>
    <xdr:to>
      <xdr:col>2</xdr:col>
      <xdr:colOff>120</xdr:colOff>
      <xdr:row>80</xdr:row>
      <xdr:rowOff>2438</xdr:rowOff>
    </xdr:to>
    <xdr:pic>
      <xdr:nvPicPr>
        <xdr:cNvPr id="303" name="Рисунок 302">
          <a:extLst>
            <a:ext uri="{FF2B5EF4-FFF2-40B4-BE49-F238E27FC236}">
              <a16:creationId xmlns:a16="http://schemas.microsoft.com/office/drawing/2014/main" id="{00000000-0008-0000-08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857250" y="32596667"/>
          <a:ext cx="857370" cy="4257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80</xdr:row>
      <xdr:rowOff>0</xdr:rowOff>
    </xdr:from>
    <xdr:to>
      <xdr:col>2</xdr:col>
      <xdr:colOff>120</xdr:colOff>
      <xdr:row>81</xdr:row>
      <xdr:rowOff>2439</xdr:rowOff>
    </xdr:to>
    <xdr:pic>
      <xdr:nvPicPr>
        <xdr:cNvPr id="304" name="Рисунок 303">
          <a:extLst>
            <a:ext uri="{FF2B5EF4-FFF2-40B4-BE49-F238E27FC236}">
              <a16:creationId xmlns:a16="http://schemas.microsoft.com/office/drawing/2014/main" id="{00000000-0008-0000-08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857250" y="33020000"/>
          <a:ext cx="857370" cy="4257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81</xdr:row>
      <xdr:rowOff>0</xdr:rowOff>
    </xdr:from>
    <xdr:to>
      <xdr:col>2</xdr:col>
      <xdr:colOff>120</xdr:colOff>
      <xdr:row>82</xdr:row>
      <xdr:rowOff>2440</xdr:rowOff>
    </xdr:to>
    <xdr:pic>
      <xdr:nvPicPr>
        <xdr:cNvPr id="305" name="Рисунок 304">
          <a:extLst>
            <a:ext uri="{FF2B5EF4-FFF2-40B4-BE49-F238E27FC236}">
              <a16:creationId xmlns:a16="http://schemas.microsoft.com/office/drawing/2014/main" id="{00000000-0008-0000-08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857250" y="33443333"/>
          <a:ext cx="857370" cy="4257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83</xdr:row>
      <xdr:rowOff>0</xdr:rowOff>
    </xdr:from>
    <xdr:to>
      <xdr:col>2</xdr:col>
      <xdr:colOff>120</xdr:colOff>
      <xdr:row>84</xdr:row>
      <xdr:rowOff>2439</xdr:rowOff>
    </xdr:to>
    <xdr:pic>
      <xdr:nvPicPr>
        <xdr:cNvPr id="306" name="Рисунок 305">
          <a:extLst>
            <a:ext uri="{FF2B5EF4-FFF2-40B4-BE49-F238E27FC236}">
              <a16:creationId xmlns:a16="http://schemas.microsoft.com/office/drawing/2014/main" id="{00000000-0008-0000-08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857250" y="34290000"/>
          <a:ext cx="857370" cy="4257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88</xdr:row>
      <xdr:rowOff>0</xdr:rowOff>
    </xdr:from>
    <xdr:to>
      <xdr:col>2</xdr:col>
      <xdr:colOff>120</xdr:colOff>
      <xdr:row>89</xdr:row>
      <xdr:rowOff>2438</xdr:rowOff>
    </xdr:to>
    <xdr:pic>
      <xdr:nvPicPr>
        <xdr:cNvPr id="307" name="Рисунок 306">
          <a:extLst>
            <a:ext uri="{FF2B5EF4-FFF2-40B4-BE49-F238E27FC236}">
              <a16:creationId xmlns:a16="http://schemas.microsoft.com/office/drawing/2014/main" id="{00000000-0008-0000-08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57250" y="36406667"/>
          <a:ext cx="857370" cy="4257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85</xdr:row>
      <xdr:rowOff>0</xdr:rowOff>
    </xdr:from>
    <xdr:to>
      <xdr:col>2</xdr:col>
      <xdr:colOff>120</xdr:colOff>
      <xdr:row>86</xdr:row>
      <xdr:rowOff>2438</xdr:rowOff>
    </xdr:to>
    <xdr:pic>
      <xdr:nvPicPr>
        <xdr:cNvPr id="308" name="Рисунок 307">
          <a:extLst>
            <a:ext uri="{FF2B5EF4-FFF2-40B4-BE49-F238E27FC236}">
              <a16:creationId xmlns:a16="http://schemas.microsoft.com/office/drawing/2014/main" id="{00000000-0008-0000-08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857250" y="35136667"/>
          <a:ext cx="857370" cy="4257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87</xdr:row>
      <xdr:rowOff>0</xdr:rowOff>
    </xdr:from>
    <xdr:to>
      <xdr:col>2</xdr:col>
      <xdr:colOff>120</xdr:colOff>
      <xdr:row>88</xdr:row>
      <xdr:rowOff>2440</xdr:rowOff>
    </xdr:to>
    <xdr:pic>
      <xdr:nvPicPr>
        <xdr:cNvPr id="309" name="Рисунок 308">
          <a:extLst>
            <a:ext uri="{FF2B5EF4-FFF2-40B4-BE49-F238E27FC236}">
              <a16:creationId xmlns:a16="http://schemas.microsoft.com/office/drawing/2014/main" id="{00000000-0008-0000-08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857250" y="35983333"/>
          <a:ext cx="857370" cy="4257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2</xdr:col>
      <xdr:colOff>120</xdr:colOff>
      <xdr:row>85</xdr:row>
      <xdr:rowOff>2440</xdr:rowOff>
    </xdr:to>
    <xdr:pic>
      <xdr:nvPicPr>
        <xdr:cNvPr id="310" name="Рисунок 309">
          <a:extLst>
            <a:ext uri="{FF2B5EF4-FFF2-40B4-BE49-F238E27FC236}">
              <a16:creationId xmlns:a16="http://schemas.microsoft.com/office/drawing/2014/main" id="{00000000-0008-0000-08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857250" y="34713333"/>
          <a:ext cx="857370" cy="4257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89</xdr:row>
      <xdr:rowOff>0</xdr:rowOff>
    </xdr:from>
    <xdr:to>
      <xdr:col>2</xdr:col>
      <xdr:colOff>120</xdr:colOff>
      <xdr:row>90</xdr:row>
      <xdr:rowOff>9053</xdr:rowOff>
    </xdr:to>
    <xdr:pic>
      <xdr:nvPicPr>
        <xdr:cNvPr id="311" name="Рисунок 310">
          <a:extLst>
            <a:ext uri="{FF2B5EF4-FFF2-40B4-BE49-F238E27FC236}">
              <a16:creationId xmlns:a16="http://schemas.microsoft.com/office/drawing/2014/main" id="{00000000-0008-0000-08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57250" y="36830000"/>
          <a:ext cx="857370" cy="4257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90</xdr:row>
      <xdr:rowOff>0</xdr:rowOff>
    </xdr:from>
    <xdr:to>
      <xdr:col>2</xdr:col>
      <xdr:colOff>120</xdr:colOff>
      <xdr:row>91</xdr:row>
      <xdr:rowOff>9056</xdr:rowOff>
    </xdr:to>
    <xdr:pic>
      <xdr:nvPicPr>
        <xdr:cNvPr id="312" name="Рисунок 311">
          <a:extLst>
            <a:ext uri="{FF2B5EF4-FFF2-40B4-BE49-F238E27FC236}">
              <a16:creationId xmlns:a16="http://schemas.microsoft.com/office/drawing/2014/main" id="{00000000-0008-0000-08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857250" y="37253333"/>
          <a:ext cx="857370" cy="42577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86</xdr:row>
      <xdr:rowOff>0</xdr:rowOff>
    </xdr:from>
    <xdr:to>
      <xdr:col>2</xdr:col>
      <xdr:colOff>120</xdr:colOff>
      <xdr:row>87</xdr:row>
      <xdr:rowOff>2440</xdr:rowOff>
    </xdr:to>
    <xdr:pic>
      <xdr:nvPicPr>
        <xdr:cNvPr id="313" name="Рисунок 312">
          <a:extLst>
            <a:ext uri="{FF2B5EF4-FFF2-40B4-BE49-F238E27FC236}">
              <a16:creationId xmlns:a16="http://schemas.microsoft.com/office/drawing/2014/main" id="{00000000-0008-0000-08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857250" y="35560000"/>
          <a:ext cx="857370" cy="4257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92</xdr:row>
      <xdr:rowOff>0</xdr:rowOff>
    </xdr:from>
    <xdr:to>
      <xdr:col>2</xdr:col>
      <xdr:colOff>120</xdr:colOff>
      <xdr:row>93</xdr:row>
      <xdr:rowOff>2439</xdr:rowOff>
    </xdr:to>
    <xdr:pic>
      <xdr:nvPicPr>
        <xdr:cNvPr id="314" name="Рисунок 313">
          <a:extLst>
            <a:ext uri="{FF2B5EF4-FFF2-40B4-BE49-F238E27FC236}">
              <a16:creationId xmlns:a16="http://schemas.microsoft.com/office/drawing/2014/main" id="{00000000-0008-0000-08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857250" y="38110583"/>
          <a:ext cx="857370" cy="41518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2</xdr:col>
      <xdr:colOff>120</xdr:colOff>
      <xdr:row>11</xdr:row>
      <xdr:rowOff>2439</xdr:rowOff>
    </xdr:to>
    <xdr:pic>
      <xdr:nvPicPr>
        <xdr:cNvPr id="152" name="Рисунок 151">
          <a:extLst>
            <a:ext uri="{FF2B5EF4-FFF2-40B4-BE49-F238E27FC236}">
              <a16:creationId xmlns:a16="http://schemas.microsoft.com/office/drawing/2014/main" id="{00000000-0008-0000-08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57250" y="4218214"/>
          <a:ext cx="857370" cy="42426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2</xdr:col>
      <xdr:colOff>120</xdr:colOff>
      <xdr:row>9</xdr:row>
      <xdr:rowOff>2440</xdr:rowOff>
    </xdr:to>
    <xdr:pic>
      <xdr:nvPicPr>
        <xdr:cNvPr id="153" name="Рисунок 152">
          <a:extLst>
            <a:ext uri="{FF2B5EF4-FFF2-40B4-BE49-F238E27FC236}">
              <a16:creationId xmlns:a16="http://schemas.microsoft.com/office/drawing/2014/main" id="{00000000-0008-0000-08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57250" y="3374571"/>
          <a:ext cx="857370" cy="42426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2</xdr:col>
      <xdr:colOff>120</xdr:colOff>
      <xdr:row>10</xdr:row>
      <xdr:rowOff>2439</xdr:rowOff>
    </xdr:to>
    <xdr:pic>
      <xdr:nvPicPr>
        <xdr:cNvPr id="154" name="Рисунок 153">
          <a:extLst>
            <a:ext uri="{FF2B5EF4-FFF2-40B4-BE49-F238E27FC236}">
              <a16:creationId xmlns:a16="http://schemas.microsoft.com/office/drawing/2014/main" id="{00000000-0008-0000-08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57250" y="3796393"/>
          <a:ext cx="857370" cy="4242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2</xdr:col>
      <xdr:colOff>120</xdr:colOff>
      <xdr:row>4</xdr:row>
      <xdr:rowOff>2439</xdr:rowOff>
    </xdr:to>
    <xdr:pic>
      <xdr:nvPicPr>
        <xdr:cNvPr id="155" name="Рисунок 154">
          <a:extLst>
            <a:ext uri="{FF2B5EF4-FFF2-40B4-BE49-F238E27FC236}">
              <a16:creationId xmlns:a16="http://schemas.microsoft.com/office/drawing/2014/main" id="{00000000-0008-0000-08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57250" y="1265464"/>
          <a:ext cx="857370" cy="42426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2</xdr:col>
      <xdr:colOff>120</xdr:colOff>
      <xdr:row>5</xdr:row>
      <xdr:rowOff>2440</xdr:rowOff>
    </xdr:to>
    <xdr:pic>
      <xdr:nvPicPr>
        <xdr:cNvPr id="156" name="Рисунок 155">
          <a:extLst>
            <a:ext uri="{FF2B5EF4-FFF2-40B4-BE49-F238E27FC236}">
              <a16:creationId xmlns:a16="http://schemas.microsoft.com/office/drawing/2014/main" id="{00000000-0008-0000-08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57250" y="1687286"/>
          <a:ext cx="857370" cy="42426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2</xdr:col>
      <xdr:colOff>120</xdr:colOff>
      <xdr:row>6</xdr:row>
      <xdr:rowOff>2439</xdr:rowOff>
    </xdr:to>
    <xdr:pic>
      <xdr:nvPicPr>
        <xdr:cNvPr id="157" name="Рисунок 156">
          <a:extLst>
            <a:ext uri="{FF2B5EF4-FFF2-40B4-BE49-F238E27FC236}">
              <a16:creationId xmlns:a16="http://schemas.microsoft.com/office/drawing/2014/main" id="{00000000-0008-0000-08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857250" y="2109107"/>
          <a:ext cx="857370" cy="42426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2</xdr:col>
      <xdr:colOff>120</xdr:colOff>
      <xdr:row>8</xdr:row>
      <xdr:rowOff>2439</xdr:rowOff>
    </xdr:to>
    <xdr:pic>
      <xdr:nvPicPr>
        <xdr:cNvPr id="162" name="Рисунок 161">
          <a:extLst>
            <a:ext uri="{FF2B5EF4-FFF2-40B4-BE49-F238E27FC236}">
              <a16:creationId xmlns:a16="http://schemas.microsoft.com/office/drawing/2014/main" id="{00000000-0008-0000-08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857250" y="2889250"/>
          <a:ext cx="857370" cy="41518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2</xdr:col>
      <xdr:colOff>120</xdr:colOff>
      <xdr:row>7</xdr:row>
      <xdr:rowOff>2439</xdr:rowOff>
    </xdr:to>
    <xdr:pic>
      <xdr:nvPicPr>
        <xdr:cNvPr id="163" name="Рисунок 162">
          <a:extLst>
            <a:ext uri="{FF2B5EF4-FFF2-40B4-BE49-F238E27FC236}">
              <a16:creationId xmlns:a16="http://schemas.microsoft.com/office/drawing/2014/main" id="{00000000-0008-0000-08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857250" y="2476500"/>
          <a:ext cx="857370" cy="41518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97</xdr:row>
      <xdr:rowOff>0</xdr:rowOff>
    </xdr:from>
    <xdr:to>
      <xdr:col>2</xdr:col>
      <xdr:colOff>120</xdr:colOff>
      <xdr:row>98</xdr:row>
      <xdr:rowOff>2439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976313" y="40600313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102</xdr:row>
      <xdr:rowOff>0</xdr:rowOff>
    </xdr:from>
    <xdr:to>
      <xdr:col>2</xdr:col>
      <xdr:colOff>120</xdr:colOff>
      <xdr:row>103</xdr:row>
      <xdr:rowOff>2440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976313" y="42505313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98</xdr:row>
      <xdr:rowOff>0</xdr:rowOff>
    </xdr:from>
    <xdr:to>
      <xdr:col>2</xdr:col>
      <xdr:colOff>120</xdr:colOff>
      <xdr:row>99</xdr:row>
      <xdr:rowOff>2440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976313" y="40838438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99</xdr:row>
      <xdr:rowOff>0</xdr:rowOff>
    </xdr:from>
    <xdr:to>
      <xdr:col>2</xdr:col>
      <xdr:colOff>120</xdr:colOff>
      <xdr:row>100</xdr:row>
      <xdr:rowOff>2439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976313" y="41255156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100</xdr:row>
      <xdr:rowOff>0</xdr:rowOff>
    </xdr:from>
    <xdr:to>
      <xdr:col>2</xdr:col>
      <xdr:colOff>120</xdr:colOff>
      <xdr:row>101</xdr:row>
      <xdr:rowOff>2439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976313" y="41671875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101</xdr:row>
      <xdr:rowOff>0</xdr:rowOff>
    </xdr:from>
    <xdr:to>
      <xdr:col>2</xdr:col>
      <xdr:colOff>120</xdr:colOff>
      <xdr:row>102</xdr:row>
      <xdr:rowOff>2439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976313" y="42088594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103</xdr:row>
      <xdr:rowOff>0</xdr:rowOff>
    </xdr:from>
    <xdr:to>
      <xdr:col>2</xdr:col>
      <xdr:colOff>120</xdr:colOff>
      <xdr:row>104</xdr:row>
      <xdr:rowOff>2439</xdr:rowOff>
    </xdr:to>
    <xdr:pic>
      <xdr:nvPicPr>
        <xdr:cNvPr id="115" name="Рисунок 114">
          <a:extLst>
            <a:ext uri="{FF2B5EF4-FFF2-40B4-BE49-F238E27FC236}">
              <a16:creationId xmlns:a16="http://schemas.microsoft.com/office/drawing/2014/main" id="{00000000-0008-0000-08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976313" y="42922031"/>
          <a:ext cx="857370" cy="41915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2</xdr:col>
      <xdr:colOff>120</xdr:colOff>
      <xdr:row>4</xdr:row>
      <xdr:rowOff>59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0" y="4191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2</xdr:col>
      <xdr:colOff>120</xdr:colOff>
      <xdr:row>5</xdr:row>
      <xdr:rowOff>57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7250" y="8382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2</xdr:col>
      <xdr:colOff>120</xdr:colOff>
      <xdr:row>6</xdr:row>
      <xdr:rowOff>58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7250" y="12573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2</xdr:col>
      <xdr:colOff>120</xdr:colOff>
      <xdr:row>12</xdr:row>
      <xdr:rowOff>58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7250" y="20955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2</xdr:col>
      <xdr:colOff>120</xdr:colOff>
      <xdr:row>11</xdr:row>
      <xdr:rowOff>57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57250" y="2963333"/>
          <a:ext cx="857370" cy="42339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2</xdr:col>
      <xdr:colOff>120</xdr:colOff>
      <xdr:row>17</xdr:row>
      <xdr:rowOff>58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57250" y="3386667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2</xdr:col>
      <xdr:colOff>120</xdr:colOff>
      <xdr:row>31</xdr:row>
      <xdr:rowOff>58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57250" y="38100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2</xdr:col>
      <xdr:colOff>120</xdr:colOff>
      <xdr:row>24</xdr:row>
      <xdr:rowOff>58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57250" y="4233333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2</xdr:col>
      <xdr:colOff>120</xdr:colOff>
      <xdr:row>38</xdr:row>
      <xdr:rowOff>58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57250" y="4656667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2</xdr:col>
      <xdr:colOff>120</xdr:colOff>
      <xdr:row>18</xdr:row>
      <xdr:rowOff>58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57250" y="5503333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2</xdr:col>
      <xdr:colOff>120</xdr:colOff>
      <xdr:row>32</xdr:row>
      <xdr:rowOff>58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57250" y="5926667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2</xdr:col>
      <xdr:colOff>120</xdr:colOff>
      <xdr:row>25</xdr:row>
      <xdr:rowOff>58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57250" y="63500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2</xdr:col>
      <xdr:colOff>120</xdr:colOff>
      <xdr:row>39</xdr:row>
      <xdr:rowOff>58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57250" y="6773333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120</xdr:colOff>
      <xdr:row>19</xdr:row>
      <xdr:rowOff>58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57250" y="76200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2</xdr:col>
      <xdr:colOff>120</xdr:colOff>
      <xdr:row>40</xdr:row>
      <xdr:rowOff>58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57250" y="88900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120</xdr:colOff>
      <xdr:row>20</xdr:row>
      <xdr:rowOff>58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857250" y="9736667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2</xdr:col>
      <xdr:colOff>120</xdr:colOff>
      <xdr:row>34</xdr:row>
      <xdr:rowOff>58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57250" y="101600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120</xdr:colOff>
      <xdr:row>27</xdr:row>
      <xdr:rowOff>58</xdr:rowOff>
    </xdr:to>
    <xdr:pic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57250" y="10583333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2</xdr:col>
      <xdr:colOff>120</xdr:colOff>
      <xdr:row>41</xdr:row>
      <xdr:rowOff>58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57250" y="11006667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120</xdr:colOff>
      <xdr:row>21</xdr:row>
      <xdr:rowOff>58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57250" y="11853333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34</xdr:row>
      <xdr:rowOff>0</xdr:rowOff>
    </xdr:from>
    <xdr:to>
      <xdr:col>2</xdr:col>
      <xdr:colOff>120</xdr:colOff>
      <xdr:row>35</xdr:row>
      <xdr:rowOff>58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57250" y="12276667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120</xdr:colOff>
      <xdr:row>28</xdr:row>
      <xdr:rowOff>58</xdr:rowOff>
    </xdr:to>
    <xdr:pic>
      <xdr:nvPicPr>
        <xdr:cNvPr id="30" name="Рисунок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857250" y="127000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2</xdr:col>
      <xdr:colOff>120</xdr:colOff>
      <xdr:row>42</xdr:row>
      <xdr:rowOff>58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57250" y="13123333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2</xdr:col>
      <xdr:colOff>120</xdr:colOff>
      <xdr:row>22</xdr:row>
      <xdr:rowOff>58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57250" y="16086667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2</xdr:col>
      <xdr:colOff>120</xdr:colOff>
      <xdr:row>36</xdr:row>
      <xdr:rowOff>58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7250" y="16510000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120</xdr:colOff>
      <xdr:row>29</xdr:row>
      <xdr:rowOff>58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7250" y="16933333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2</xdr:col>
      <xdr:colOff>120</xdr:colOff>
      <xdr:row>43</xdr:row>
      <xdr:rowOff>58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7250" y="17356667"/>
          <a:ext cx="857370" cy="419158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35</xdr:row>
      <xdr:rowOff>0</xdr:rowOff>
    </xdr:from>
    <xdr:ext cx="857370" cy="419158"/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57250" y="16086667"/>
          <a:ext cx="857370" cy="419158"/>
        </a:xfrm>
        <a:prstGeom prst="rect">
          <a:avLst/>
        </a:prstGeom>
      </xdr:spPr>
    </xdr:pic>
    <xdr:clientData/>
  </xdr:oneCellAnchor>
  <xdr:twoCellAnchor editAs="oneCell">
    <xdr:from>
      <xdr:col>1</xdr:col>
      <xdr:colOff>0</xdr:colOff>
      <xdr:row>32</xdr:row>
      <xdr:rowOff>0</xdr:rowOff>
    </xdr:from>
    <xdr:to>
      <xdr:col>2</xdr:col>
      <xdr:colOff>120</xdr:colOff>
      <xdr:row>33</xdr:row>
      <xdr:rowOff>58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57250" y="11006667"/>
          <a:ext cx="857370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120</xdr:colOff>
      <xdr:row>26</xdr:row>
      <xdr:rowOff>58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57250" y="10160000"/>
          <a:ext cx="857370" cy="41915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00000000-000C-0000-FFFF-FFFF00000000}" name="Таблица_цепочки_имплантов" displayName="Таблица_цепочки_имплантов" ref="A1:K206" totalsRowShown="0" headerRowDxfId="1161" dataDxfId="1160" tableBorderDxfId="1159">
  <autoFilter ref="A1:K206" xr:uid="{00000000-0009-0000-0100-00005B000000}"/>
  <tableColumns count="11">
    <tableColumn id="1" xr3:uid="{00000000-0010-0000-0000-000001000000}" name="Ветеран" dataDxfId="1158"/>
    <tableColumn id="2" xr3:uid="{00000000-0010-0000-0000-000002000000}" name="Точность" dataDxfId="1157"/>
    <tableColumn id="3" xr3:uid="{00000000-0010-0000-0000-000003000000}" name="Всего" dataDxfId="1156">
      <calculatedColumnFormula>B2+C1</calculatedColumnFormula>
    </tableColumn>
    <tableColumn id="4" xr3:uid="{00000000-0010-0000-0000-000004000000}" name="Крит. Попадание" dataDxfId="1155"/>
    <tableColumn id="5" xr3:uid="{00000000-0010-0000-0000-000005000000}" name="Всего2" dataDxfId="1154">
      <calculatedColumnFormula>D2+E1</calculatedColumnFormula>
    </tableColumn>
    <tableColumn id="6" xr3:uid="{00000000-0010-0000-0000-000006000000}" name="Крит. Урон" dataDxfId="1153"/>
    <tableColumn id="7" xr3:uid="{00000000-0010-0000-0000-000007000000}" name="Всего3" dataDxfId="1152">
      <calculatedColumnFormula>F2+G1</calculatedColumnFormula>
    </tableColumn>
    <tableColumn id="8" xr3:uid="{00000000-0010-0000-0000-000008000000}" name="Дальность" dataDxfId="1151"/>
    <tableColumn id="9" xr3:uid="{00000000-0010-0000-0000-000009000000}" name="Всего4" dataDxfId="1150">
      <calculatedColumnFormula>H2+I1</calculatedColumnFormula>
    </tableColumn>
    <tableColumn id="10" xr3:uid="{00000000-0010-0000-0000-00000A000000}" name="Урон" dataDxfId="1149"/>
    <tableColumn id="11" xr3:uid="{00000000-0010-0000-0000-00000B000000}" name="Всего5" dataDxfId="1148">
      <calculatedColumnFormula>J2+K1</calculatedColumnFormula>
    </tableColumn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0000000-000C-0000-FFFF-FFFF01000000}" name="Таблица_оружие" displayName="Таблица_оружие" ref="A1:AP125" totalsRowShown="0" headerRowDxfId="1081" dataDxfId="1079" headerRowBorderDxfId="1080" tableBorderDxfId="1078">
  <autoFilter ref="A1:AP125" xr:uid="{00000000-0009-0000-0100-000050000000}"/>
  <tableColumns count="42">
    <tableColumn id="1" xr3:uid="{00000000-0010-0000-0100-000001000000}" name="название" dataDxfId="1077"/>
    <tableColumn id="2" xr3:uid="{00000000-0010-0000-0100-000002000000}" name="иконки" dataDxfId="1076"/>
    <tableColumn id="3" xr3:uid="{00000000-0010-0000-0100-000003000000}" name="урон мин." dataDxfId="1075"/>
    <tableColumn id="4" xr3:uid="{00000000-0010-0000-0100-000004000000}" name="урон макс." dataDxfId="1074"/>
    <tableColumn id="29" xr3:uid="{00000000-0010-0000-0100-00001D000000}" name="бонус мод" dataDxfId="1073">
      <calculatedColumnFormula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calculatedColumnFormula>
    </tableColumn>
    <tableColumn id="34" xr3:uid="{00000000-0010-0000-0100-000022000000}" name="бонус мод2" dataDxfId="1072">
      <calculatedColumnFormula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calculatedColumnFormula>
    </tableColumn>
    <tableColumn id="5" xr3:uid="{00000000-0010-0000-0100-000005000000}" name="средний урон" dataDxfId="1071">
      <calculatedColumnFormula>SUM(Таблица_оружие[[#This Row],[урон макс.]]+Таблица_оружие[[#This Row],[урон мин.]])/2</calculatedColumnFormula>
    </tableColumn>
    <tableColumn id="6" xr3:uid="{00000000-0010-0000-0100-000006000000}" name="разброс" dataDxfId="1070">
      <calculatedColumnFormula>SUM(Таблица_оружие[[#This Row],[урон макс.]]-Таблица_оружие[[#This Row],[урон мин.]])</calculatedColumnFormula>
    </tableColumn>
    <tableColumn id="7" xr3:uid="{00000000-0010-0000-0100-000007000000}" name="крит поп." dataDxfId="1069"/>
    <tableColumn id="30" xr3:uid="{00000000-0010-0000-0100-00001E000000}" name="бонус мод3" dataDxfId="1068">
      <calculatedColumnFormula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calculatedColumnFormula>
    </tableColumn>
    <tableColumn id="8" xr3:uid="{00000000-0010-0000-0100-000008000000}" name="кр.урон" dataDxfId="1067"/>
    <tableColumn id="31" xr3:uid="{00000000-0010-0000-0100-00001F000000}" name="бонус мод4" dataDxfId="1066">
      <calculatedColumnFormula>(Таблица_оружие[[#This Row],[урон макс.]]+Таблица_оружие[[#This Row],[бонус мод2]])*Таблица_оружие[[#This Row],[бонус мод11]]-Таблица_оружие[[#This Row],[кр.урон]]</calculatedColumnFormula>
    </tableColumn>
    <tableColumn id="9" xr3:uid="{00000000-0010-0000-0100-000009000000}" name="точность1" dataDxfId="1065"/>
    <tableColumn id="10" xr3:uid="{00000000-0010-0000-0100-00000A000000}" name="точность2" dataDxfId="1064"/>
    <tableColumn id="11" xr3:uid="{00000000-0010-0000-0100-00000B000000}" name="точность3" dataDxfId="1063"/>
    <tableColumn id="33" xr3:uid="{00000000-0010-0000-0100-000021000000}" name="бонус мод5" dataDxfId="1062">
      <calculatedColumnFormula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calculatedColumnFormula>
    </tableColumn>
    <tableColumn id="35" xr3:uid="{00000000-0010-0000-0100-000023000000}" name="бонус мод6" dataDxfId="1061">
      <calculatedColumnFormula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calculatedColumnFormula>
    </tableColumn>
    <tableColumn id="36" xr3:uid="{00000000-0010-0000-0100-000024000000}" name="бонус мод7" dataDxfId="1060">
      <calculatedColumnFormula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calculatedColumnFormula>
    </tableColumn>
    <tableColumn id="12" xr3:uid="{00000000-0010-0000-0100-00000C000000}" name="дальн.мин.1" dataDxfId="1059"/>
    <tableColumn id="13" xr3:uid="{00000000-0010-0000-0100-00000D000000}" name="дальн.мин.2" dataDxfId="1058"/>
    <tableColumn id="14" xr3:uid="{00000000-0010-0000-0100-00000E000000}" name="дальн.мин.3" dataDxfId="1057"/>
    <tableColumn id="15" xr3:uid="{00000000-0010-0000-0100-00000F000000}" name="дальн.макс1" dataDxfId="1056"/>
    <tableColumn id="16" xr3:uid="{00000000-0010-0000-0100-000010000000}" name="дальн.макс2" dataDxfId="1055"/>
    <tableColumn id="17" xr3:uid="{00000000-0010-0000-0100-000011000000}" name="дальн.макс3" dataDxfId="1054"/>
    <tableColumn id="37" xr3:uid="{00000000-0010-0000-0100-000025000000}" name="бонус мод8" dataDxfId="1053">
      <calculatedColumnFormula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calculatedColumnFormula>
    </tableColumn>
    <tableColumn id="38" xr3:uid="{00000000-0010-0000-0100-000026000000}" name="бонус мод9" dataDxfId="1052">
      <calculatedColumnFormula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calculatedColumnFormula>
    </tableColumn>
    <tableColumn id="39" xr3:uid="{00000000-0010-0000-0100-000027000000}" name="бонус мод10" dataDxfId="1051">
      <calculatedColumnFormula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calculatedColumnFormula>
    </tableColumn>
    <tableColumn id="21" xr3:uid="{00000000-0010-0000-0100-000015000000}" name="навыки оружия" dataDxfId="1050"/>
    <tableColumn id="22" xr3:uid="{00000000-0010-0000-0100-000016000000}" name="эффбоерипасов" dataDxfId="1049"/>
    <tableColumn id="18" xr3:uid="{00000000-0010-0000-0100-000012000000}" name="навыки дробовики" dataDxfId="1048"/>
    <tableColumn id="19" xr3:uid="{00000000-0010-0000-0100-000013000000}" name="навыки ШВ" dataDxfId="1047"/>
    <tableColumn id="20" xr3:uid="{00000000-0010-0000-0100-000014000000}" name=" Навыки Пулеметы" dataDxfId="1046"/>
    <tableColumn id="23" xr3:uid="{00000000-0010-0000-0100-000017000000}" name="Навыки СВ" dataDxfId="1045"/>
    <tableColumn id="24" xr3:uid="{00000000-0010-0000-0100-000018000000}" name="крит множ" dataDxfId="1044"/>
    <tableColumn id="32" xr3:uid="{00000000-0010-0000-0100-000020000000}" name="бонус мод11" dataDxfId="1043">
      <calculatedColumnFormula>Таблица_оружие[[#This Row],[крит множ]]+(Таблица_оружие[[#This Row],[крит множ]]*(Примерочная!$S$7*VLOOKUP(Примерочная!$V$2,Таблица_моды_оружие[],6,0)))</calculatedColumnFormula>
    </tableColumn>
    <tableColumn id="25" xr3:uid="{00000000-0010-0000-0100-000019000000}" name="FH" dataDxfId="1042"/>
    <tableColumn id="26" xr3:uid="{00000000-0010-0000-0100-00001A000000}" name="CH" dataDxfId="1041"/>
    <tableColumn id="27" xr3:uid="{00000000-0010-0000-0100-00001B000000}" name="EM" dataDxfId="1040"/>
    <tableColumn id="28" xr3:uid="{00000000-0010-0000-0100-00001C000000}" name="KN" dataDxfId="1039"/>
    <tableColumn id="40" xr3:uid="{00000000-0010-0000-0100-000028000000}" name="бонус мод12" dataDxfId="1038">
      <calculatedColumnFormula>Таблица_оружие[[#This Row],[FH]]*(1+Примерочная!$U$7*VLOOKUP(Примерочная!$V$2,Таблица_моды_оружие[],11,0))-Таблица_оружие[[#This Row],[FH]]</calculatedColumnFormula>
    </tableColumn>
    <tableColumn id="41" xr3:uid="{00000000-0010-0000-0100-000029000000}" name="бонус мод13" dataDxfId="1037">
      <calculatedColumnFormula>Таблица_оружие[[#This Row],[CH]]*(1+Примерочная!$U$7*VLOOKUP(Примерочная!$V$2,Таблица_моды_оружие[],11,0))-Таблица_оружие[[#This Row],[CH]]</calculatedColumnFormula>
    </tableColumn>
    <tableColumn id="42" xr3:uid="{00000000-0010-0000-0100-00002A000000}" name="бонус мод14" dataDxfId="1036">
      <calculatedColumnFormula>Таблица_оружие[[#This Row],[EM]]*(1+Примерочная!$U$7*VLOOKUP(Примерочная!$V$2,Таблица_моды_оружие[],11,0))-Таблица_оружие[[#This Row],[EM]]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02000000}" name="Таблица_гранаты" displayName="Таблица_гранаты" ref="A127:M139" totalsRowShown="0" headerRowDxfId="1035" dataDxfId="1033" headerRowBorderDxfId="1034" tableBorderDxfId="1032" totalsRowBorderDxfId="1031">
  <autoFilter ref="A127:M139" xr:uid="{00000000-0009-0000-0100-000053000000}"/>
  <tableColumns count="13">
    <tableColumn id="1" xr3:uid="{00000000-0010-0000-0200-000001000000}" name="название" dataDxfId="1030"/>
    <tableColumn id="2" xr3:uid="{00000000-0010-0000-0200-000002000000}" name="иконки" dataDxfId="1029"/>
    <tableColumn id="3" xr3:uid="{00000000-0010-0000-0200-000003000000}" name="Од на бросок" dataDxfId="1028"/>
    <tableColumn id="4" xr3:uid="{00000000-0010-0000-0200-000004000000}" name="Дальность броска min" dataDxfId="1027"/>
    <tableColumn id="5" xr3:uid="{00000000-0010-0000-0200-000005000000}" name="Дальность броска max" dataDxfId="1026"/>
    <tableColumn id="6" xr3:uid="{00000000-0010-0000-0200-000006000000}" name="Радиус взрыва" dataDxfId="1025"/>
    <tableColumn id="7" xr3:uid="{00000000-0010-0000-0200-000007000000}" name="урон min" dataDxfId="1024"/>
    <tableColumn id="8" xr3:uid="{00000000-0010-0000-0200-000008000000}" name="урон max" dataDxfId="1023"/>
    <tableColumn id="9" xr3:uid="{00000000-0010-0000-0200-000009000000}" name="контузия" dataDxfId="1022"/>
    <tableColumn id="10" xr3:uid="{00000000-0010-0000-0200-00000A000000}" name="отравление" dataDxfId="1021"/>
    <tableColumn id="11" xr3:uid="{00000000-0010-0000-0200-00000B000000}" name="шок" dataDxfId="1020"/>
    <tableColumn id="12" xr3:uid="{00000000-0010-0000-0200-00000C000000}" name="навык гранаты" dataDxfId="1019"/>
    <tableColumn id="13" xr3:uid="{00000000-0010-0000-0200-00000D000000}" name="навык оружие" dataDxfId="1018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00000000-000C-0000-FFFF-FFFF03000000}" name="Таблица_мины" displayName="Таблица_мины" ref="A141:L153" totalsRowShown="0" headerRowDxfId="1017" dataDxfId="1015" headerRowBorderDxfId="1016" tableBorderDxfId="1014" totalsRowBorderDxfId="1013">
  <autoFilter ref="A141:L153" xr:uid="{00000000-0009-0000-0100-000054000000}"/>
  <tableColumns count="12">
    <tableColumn id="1" xr3:uid="{00000000-0010-0000-0300-000001000000}" name="название" dataDxfId="1012"/>
    <tableColumn id="2" xr3:uid="{00000000-0010-0000-0300-000002000000}" name="иконки" dataDxfId="1011"/>
    <tableColumn id="3" xr3:uid="{00000000-0010-0000-0300-000003000000}" name="ОД на установку" dataDxfId="1010"/>
    <tableColumn id="4" xr3:uid="{00000000-0010-0000-0300-000004000000}" name="радиус срабатывания" dataDxfId="1009"/>
    <tableColumn id="5" xr3:uid="{00000000-0010-0000-0300-000005000000}" name="радиус взрыва" dataDxfId="1008"/>
    <tableColumn id="6" xr3:uid="{00000000-0010-0000-0300-000006000000}" name="урон min" dataDxfId="1007"/>
    <tableColumn id="7" xr3:uid="{00000000-0010-0000-0300-000007000000}" name="урон max " dataDxfId="1006"/>
    <tableColumn id="8" xr3:uid="{00000000-0010-0000-0300-000008000000}" name="контузия" dataDxfId="1005"/>
    <tableColumn id="9" xr3:uid="{00000000-0010-0000-0300-000009000000}" name=" отравление" dataDxfId="1004"/>
    <tableColumn id="10" xr3:uid="{00000000-0010-0000-0300-00000A000000}" name="шок" dataDxfId="1003"/>
    <tableColumn id="11" xr3:uid="{00000000-0010-0000-0300-00000B000000}" name="навык мины" dataDxfId="1002"/>
    <tableColumn id="12" xr3:uid="{00000000-0010-0000-0300-00000C000000}" name="навык оружие" dataDxfId="1001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04000000}" name="Таблица_ачивки_урон_по_мобам" displayName="Таблица_ачивки_урон_по_мобам" ref="A1:C24" totalsRowShown="0" headerRowDxfId="1000" dataDxfId="998" headerRowBorderDxfId="999" tableBorderDxfId="997" totalsRowBorderDxfId="996">
  <autoFilter ref="A1:C24" xr:uid="{00000000-0009-0000-0100-000038000000}"/>
  <tableColumns count="3">
    <tableColumn id="1" xr3:uid="{00000000-0010-0000-0400-000001000000}" name="название" dataDxfId="995"/>
    <tableColumn id="2" xr3:uid="{00000000-0010-0000-0400-000002000000}" name="урон по мобам" dataDxfId="994"/>
    <tableColumn id="3" xr3:uid="{00000000-0010-0000-0400-000003000000}" name="Столбец1" dataDxfId="993">
      <calculatedColumnFormula>Таблица_ачивки_урон_по_мобам[[#This Row],[урон по мобам]]+C1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05000000}" name="Таблица_ачивки_урон" displayName="Таблица_ачивки_урон" ref="E1:G7" totalsRowShown="0" headerRowDxfId="992" dataDxfId="990" headerRowBorderDxfId="991" tableBorderDxfId="989" totalsRowBorderDxfId="988">
  <autoFilter ref="E1:G7" xr:uid="{00000000-0009-0000-0100-00003B000000}"/>
  <tableColumns count="3">
    <tableColumn id="1" xr3:uid="{00000000-0010-0000-0500-000001000000}" name="название" dataDxfId="987"/>
    <tableColumn id="2" xr3:uid="{00000000-0010-0000-0500-000002000000}" name="урон" dataDxfId="986">
      <calculatedColumnFormula>IF(Ачивки!E3=TRUE,1%,0)</calculatedColumnFormula>
    </tableColumn>
    <tableColumn id="3" xr3:uid="{00000000-0010-0000-0500-000003000000}" name="Столбец1" dataDxfId="985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06000000}" name="Таблица_ачивки_защита" displayName="Таблица_ачивки_защита" ref="E9:G15" totalsRowShown="0" headerRowDxfId="984" dataDxfId="982" headerRowBorderDxfId="983" tableBorderDxfId="981" totalsRowBorderDxfId="980">
  <autoFilter ref="E9:G15" xr:uid="{00000000-0009-0000-0100-00003E000000}"/>
  <tableColumns count="3">
    <tableColumn id="1" xr3:uid="{00000000-0010-0000-0600-000001000000}" name="название" dataDxfId="979"/>
    <tableColumn id="2" xr3:uid="{00000000-0010-0000-0600-000002000000}" name="защита" dataDxfId="978">
      <calculatedColumnFormula>IF(Ачивки!I3=TRUE,1%,0)</calculatedColumnFormula>
    </tableColumn>
    <tableColumn id="3" xr3:uid="{00000000-0010-0000-0600-000003000000}" name="Столбец2" dataDxfId="977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07000000}" name="Таблица_ачивки_здоровье" displayName="Таблица_ачивки_здоровье" ref="E17:G21" totalsRowShown="0" headerRowDxfId="976" dataDxfId="974" headerRowBorderDxfId="975" tableBorderDxfId="973" totalsRowBorderDxfId="972">
  <autoFilter ref="E17:G21" xr:uid="{00000000-0009-0000-0100-00003F000000}"/>
  <tableColumns count="3">
    <tableColumn id="1" xr3:uid="{00000000-0010-0000-0700-000001000000}" name="название" dataDxfId="971"/>
    <tableColumn id="2" xr3:uid="{00000000-0010-0000-0700-000002000000}" name="Здоровье" dataDxfId="970">
      <calculatedColumnFormula>IF(Ачивки!M3=TRUE,1,0)</calculatedColumnFormula>
    </tableColumn>
    <tableColumn id="3" xr3:uid="{00000000-0010-0000-0700-000003000000}" name="Столбец2" dataDxfId="969">
      <calculatedColumnFormula>Таблица_ачивки_здоровье[[#This Row],[Здоровье]]</calculatedColumnFormula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08000000}" name="Таблица_ачивки_эффективность_аптечек" displayName="Таблица_ачивки_эффективность_аптечек" ref="I1:K4" totalsRowShown="0" headerRowDxfId="968" dataDxfId="966" headerRowBorderDxfId="967" tableBorderDxfId="965" totalsRowBorderDxfId="964">
  <autoFilter ref="I1:K4" xr:uid="{00000000-0009-0000-0100-000040000000}"/>
  <tableColumns count="3">
    <tableColumn id="1" xr3:uid="{00000000-0010-0000-0800-000001000000}" name="название" dataDxfId="963"/>
    <tableColumn id="2" xr3:uid="{00000000-0010-0000-0800-000002000000}" name="эфф.апт" dataDxfId="962">
      <calculatedColumnFormula>IF(Ачивки!Q3=TRUE,5%,0)</calculatedColumnFormula>
    </tableColumn>
    <tableColumn id="3" xr3:uid="{00000000-0010-0000-0800-000003000000}" name="Столбец1" dataDxfId="961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09000000}" name="Таблица_ачивки_снижение_урона" displayName="Таблица_ачивки_снижение_урона" ref="I6:K8" totalsRowShown="0" headerRowDxfId="960" dataDxfId="958" headerRowBorderDxfId="959" tableBorderDxfId="957" totalsRowBorderDxfId="956">
  <autoFilter ref="I6:K8" xr:uid="{00000000-0009-0000-0100-000041000000}"/>
  <tableColumns count="3">
    <tableColumn id="1" xr3:uid="{00000000-0010-0000-0900-000001000000}" name="название" dataDxfId="955"/>
    <tableColumn id="2" xr3:uid="{00000000-0010-0000-0900-000002000000}" name="сниж. Урона" dataDxfId="954">
      <calculatedColumnFormula>IF(Ачивки!U3=TRUE,1%,0)</calculatedColumnFormula>
    </tableColumn>
    <tableColumn id="3" xr3:uid="{00000000-0010-0000-0900-000003000000}" name="Столбец1" dataDxfId="953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0A000000}" name="Таблица_ачивки_интоксикация_персонажа" displayName="Таблица_ачивки_интоксикация_персонажа" ref="I10:K12" totalsRowShown="0" headerRowDxfId="952" dataDxfId="950" headerRowBorderDxfId="951" tableBorderDxfId="949" totalsRowBorderDxfId="948">
  <autoFilter ref="I10:K12" xr:uid="{00000000-0009-0000-0100-000042000000}"/>
  <tableColumns count="3">
    <tableColumn id="1" xr3:uid="{00000000-0010-0000-0A00-000001000000}" name="название" dataDxfId="947"/>
    <tableColumn id="2" xr3:uid="{00000000-0010-0000-0A00-000002000000}" name="интоксикация" dataDxfId="946">
      <calculatedColumnFormula>IF(Ачивки!Y3=TRUE,1,0)</calculatedColumnFormula>
    </tableColumn>
    <tableColumn id="3" xr3:uid="{00000000-0010-0000-0A00-000003000000}" name="Столбец1" dataDxfId="945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0B000000}" name="Таблица_ачивки_урон_мин_гранат" displayName="Таблица_ачивки_урон_мин_гранат" ref="I14:K16" totalsRowShown="0" headerRowDxfId="944" dataDxfId="942" headerRowBorderDxfId="943" tableBorderDxfId="941" totalsRowBorderDxfId="940">
  <autoFilter ref="I14:K16" xr:uid="{00000000-0009-0000-0100-000044000000}"/>
  <tableColumns count="3">
    <tableColumn id="1" xr3:uid="{00000000-0010-0000-0B00-000001000000}" name="название" dataDxfId="939"/>
    <tableColumn id="2" xr3:uid="{00000000-0010-0000-0B00-000002000000}" name="урон мин гранат" dataDxfId="938">
      <calculatedColumnFormula>IF(Ачивки!AC3=TRUE,5%,0)</calculatedColumnFormula>
    </tableColumn>
    <tableColumn id="3" xr3:uid="{00000000-0010-0000-0B00-000003000000}" name="Столбец1" dataDxfId="937">
      <calculatedColumnFormula>Таблица_ачивки_урон_мин_гранат[[#This Row],[урон мин гранат]]</calculatedColumnFormula>
    </tableColumn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0000000-000C-0000-FFFF-FFFF0C000000}" name="Таблица_ачивки_радиус_взрыва" displayName="Таблица_ачивки_радиус_взрыва" ref="I18:K20" totalsRowShown="0" headerRowDxfId="936" dataDxfId="934" headerRowBorderDxfId="935" tableBorderDxfId="933" totalsRowBorderDxfId="932">
  <autoFilter ref="I18:K20" xr:uid="{00000000-0009-0000-0100-000051000000}"/>
  <tableColumns count="3">
    <tableColumn id="1" xr3:uid="{00000000-0010-0000-0C00-000001000000}" name="название" dataDxfId="931"/>
    <tableColumn id="2" xr3:uid="{00000000-0010-0000-0C00-000002000000}" name="радиус взрыва" dataDxfId="930">
      <calculatedColumnFormula>IF(Ачивки!AG3=TRUE,0.5,0)</calculatedColumnFormula>
    </tableColumn>
    <tableColumn id="3" xr3:uid="{00000000-0010-0000-0C00-000003000000}" name="Столбец1" dataDxfId="929">
      <calculatedColumnFormula>Таблица_ачивки_радиус_взрыва[[#This Row],[радиус взрыва]]</calculatedColumnFormula>
    </tableColumn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0000000-000C-0000-FFFF-FFFF0D000000}" name="Таблица_ачивки_критическое_попадание" displayName="Таблица_ачивки_критическое_попадание" ref="I22:K24" totalsRowShown="0" headerRowDxfId="928" dataDxfId="926" headerRowBorderDxfId="927" tableBorderDxfId="925" totalsRowBorderDxfId="924">
  <autoFilter ref="I22:K24" xr:uid="{00000000-0009-0000-0100-000057000000}"/>
  <tableColumns count="3">
    <tableColumn id="1" xr3:uid="{00000000-0010-0000-0D00-000001000000}" name="название" dataDxfId="923"/>
    <tableColumn id="2" xr3:uid="{00000000-0010-0000-0D00-000002000000}" name="критическое поп." dataDxfId="922">
      <calculatedColumnFormula>IF(Ачивки!AK3=TRUE,5%,0)</calculatedColumnFormula>
    </tableColumn>
    <tableColumn id="3" xr3:uid="{00000000-0010-0000-0D00-000003000000}" name="Столбец1" dataDxfId="921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000000-000C-0000-FFFF-FFFF0E000000}" name="Таблица_ачивики_сопротивление_эффектам" displayName="Таблица_ачивики_сопротивление_эффектам" ref="E23:G24" totalsRowShown="0" headerRowDxfId="920" dataDxfId="918" headerRowBorderDxfId="919" tableBorderDxfId="917" totalsRowBorderDxfId="916">
  <autoFilter ref="E23:G24" xr:uid="{00000000-0009-0000-0100-000058000000}"/>
  <tableColumns count="3">
    <tableColumn id="1" xr3:uid="{00000000-0010-0000-0E00-000001000000}" name="название" dataDxfId="915"/>
    <tableColumn id="2" xr3:uid="{00000000-0010-0000-0E00-000002000000}" name="сопротивление эффектам" dataDxfId="914">
      <calculatedColumnFormula>IF(Ачивки!AO3=TRUE,15,0)</calculatedColumnFormula>
    </tableColumn>
    <tableColumn id="3" xr3:uid="{00000000-0010-0000-0E00-000003000000}" name="Столбец1" dataDxfId="913">
      <calculatedColumnFormula>Таблица_ачивики_сопротивление_эффектам[сопротивление эффектам]</calculatedColumnFormula>
    </tableColumn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0000000-000C-0000-FFFF-FFFF0F000000}" name="Таблица_ачивки_эффективность_стимуляторов" displayName="Таблица_ачивки_эффективность_стимуляторов" ref="E26:G27" totalsRowShown="0" headerRowDxfId="912" dataDxfId="910" headerRowBorderDxfId="911" tableBorderDxfId="909" totalsRowBorderDxfId="908">
  <autoFilter ref="E26:G27" xr:uid="{00000000-0009-0000-0100-000059000000}"/>
  <tableColumns count="3">
    <tableColumn id="1" xr3:uid="{00000000-0010-0000-0F00-000001000000}" name="название" dataDxfId="907"/>
    <tableColumn id="2" xr3:uid="{00000000-0010-0000-0F00-000002000000}" name="эфф. Стимуляторов" dataDxfId="906">
      <calculatedColumnFormula>IF(Ачивки!AS3=TRUE,1%,0)</calculatedColumnFormula>
    </tableColumn>
    <tableColumn id="3" xr3:uid="{00000000-0010-0000-0F00-000003000000}" name="Столбец1" dataDxfId="905">
      <calculatedColumnFormula>Таблица_ачивки_эффективность_стимуляторов[эфф. Стимуляторов]</calculatedColumnFormula>
    </tableColumn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0000000}" name="Таблица_ачивок_скорость_по_карте" displayName="Таблица_ачивок_скорость_по_карте" ref="A26:C39" totalsRowShown="0" headerRowDxfId="904" headerRowBorderDxfId="903">
  <autoFilter ref="A26:C39" xr:uid="{00000000-0009-0000-0100-000004000000}"/>
  <tableColumns count="3">
    <tableColumn id="1" xr3:uid="{00000000-0010-0000-1000-000001000000}" name="название" dataDxfId="902"/>
    <tableColumn id="2" xr3:uid="{00000000-0010-0000-1000-000002000000}" name="Скорость по карте" dataDxfId="901"/>
    <tableColumn id="3" xr3:uid="{00000000-0010-0000-1000-000003000000}" name="Столбец1" dataDxfId="900">
      <calculatedColumnFormula>Таблица_ачивок_скорость_по_карте[[#This Row],[Скорость по карте]]</calculatedColumnFormula>
    </tableColumn>
  </tableColumns>
  <tableStyleInfo name="Стиль таблицы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11000000}" name="Таблица_шлемы" displayName="Таблица_шлемы" ref="A1:Z31" totalsRowShown="0" headerRowDxfId="877" dataDxfId="875" headerRowBorderDxfId="876" tableBorderDxfId="874" totalsRowBorderDxfId="873">
  <autoFilter ref="A1:Z31" xr:uid="{00000000-0009-0000-0100-00003A000000}"/>
  <tableColumns count="26">
    <tableColumn id="1" xr3:uid="{00000000-0010-0000-1100-000001000000}" name="название" dataDxfId="872"/>
    <tableColumn id="2" xr3:uid="{00000000-0010-0000-1100-000002000000}" name="картинки" dataDxfId="871"/>
    <tableColumn id="3" xr3:uid="{00000000-0010-0000-1100-000003000000}" name="маскировка" dataDxfId="870"/>
    <tableColumn id="16" xr3:uid="{00000000-0010-0000-1100-000010000000}" name="бонус мод" dataDxfId="869"/>
    <tableColumn id="4" xr3:uid="{00000000-0010-0000-1100-000004000000}" name="защита" dataDxfId="868"/>
    <tableColumn id="15" xr3:uid="{00000000-0010-0000-1100-00000F000000}" name="бонус мод2" dataDxfId="867">
      <calculatedColumnFormula>Таблица_шлемы[[#This Row],[защита]]*(1+Примерочная!$J$7*VLOOKUP(Таблица_шлемы[[#This Row],[картинки]],Таблица_моды_шлемы[],2,0)+Примерочная!#REF!*VLOOKUP(Таблица_шлемы[[#This Row],[картинки]],Таблица_моды_шлемы[],3,0))-Таблица_шлемы[[#This Row],[защита]]</calculatedColumnFormula>
    </tableColumn>
    <tableColumn id="5" xr3:uid="{00000000-0010-0000-1100-000005000000}" name="конт." dataDxfId="866">
      <calculatedColumnFormula>SUM(10+(25*Примерочная!#REF!))</calculatedColumnFormula>
    </tableColumn>
    <tableColumn id="6" xr3:uid="{00000000-0010-0000-1100-000006000000}" name="отр." dataDxfId="865">
      <calculatedColumnFormula>SUM(10+(25*Примерочная!#REF!))</calculatedColumnFormula>
    </tableColumn>
    <tableColumn id="7" xr3:uid="{00000000-0010-0000-1100-000007000000}" name="шок." dataDxfId="864"/>
    <tableColumn id="17" xr3:uid="{00000000-0010-0000-1100-000011000000}" name="бонус мод3" dataDxfId="863"/>
    <tableColumn id="8" xr3:uid="{00000000-0010-0000-1100-000008000000}" name="кр.укл." dataDxfId="862"/>
    <tableColumn id="18" xr3:uid="{00000000-0010-0000-1100-000012000000}" name="бонус мод4" dataDxfId="861"/>
    <tableColumn id="9" xr3:uid="{00000000-0010-0000-1100-000009000000}" name="кр.защ." dataDxfId="860"/>
    <tableColumn id="19" xr3:uid="{00000000-0010-0000-1100-000013000000}" name="бонус мод5" dataDxfId="859"/>
    <tableColumn id="10" xr3:uid="{00000000-0010-0000-1100-00000A000000}" name="Рикошет" dataDxfId="858"/>
    <tableColumn id="11" xr3:uid="{00000000-0010-0000-1100-00000B000000}" name="снижение урона" dataDxfId="857"/>
    <tableColumn id="12" xr3:uid="{00000000-0010-0000-1100-00000C000000}" name="бонус мод." dataDxfId="856"/>
    <tableColumn id="13" xr3:uid="{00000000-0010-0000-1100-00000D000000}" name="эфф. Аптечек" dataDxfId="855"/>
    <tableColumn id="14" xr3:uid="{00000000-0010-0000-1100-00000E000000}" name="бонус мод6" dataDxfId="854"/>
    <tableColumn id="20" xr3:uid="{00000000-0010-0000-1100-000014000000}" name="здоровье" dataDxfId="853"/>
    <tableColumn id="21" xr3:uid="{00000000-0010-0000-1100-000015000000}" name="бонус мод7" dataDxfId="852"/>
    <tableColumn id="22" xr3:uid="{00000000-0010-0000-1100-000016000000}" name="токсичность" dataDxfId="851"/>
    <tableColumn id="23" xr3:uid="{00000000-0010-0000-1100-000017000000}" name="ШВ броня" dataDxfId="850"/>
    <tableColumn id="24" xr3:uid="{00000000-0010-0000-1100-000018000000}" name="СВ броня" dataDxfId="849"/>
    <tableColumn id="25" xr3:uid="{00000000-0010-0000-1100-000019000000}" name="Танк Броня" dataDxfId="848"/>
    <tableColumn id="26" xr3:uid="{00000000-0010-0000-1100-00001A000000}" name="Исп. Брони" dataDxfId="847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12000000}" name="Таблица_брюки" displayName="Таблица_брюки" ref="A64:Z93" totalsRowShown="0" headerRowDxfId="846" dataDxfId="844" headerRowBorderDxfId="845" tableBorderDxfId="843" totalsRowBorderDxfId="842">
  <autoFilter ref="A64:Z93" xr:uid="{00000000-0009-0000-0100-00003D000000}"/>
  <tableColumns count="26">
    <tableColumn id="1" xr3:uid="{00000000-0010-0000-1200-000001000000}" name="название" dataDxfId="841"/>
    <tableColumn id="2" xr3:uid="{00000000-0010-0000-1200-000002000000}" name="картинка" dataDxfId="840"/>
    <tableColumn id="3" xr3:uid="{00000000-0010-0000-1200-000003000000}" name="маскировка" dataDxfId="839"/>
    <tableColumn id="16" xr3:uid="{00000000-0010-0000-1200-000010000000}" name="бонус мод" dataDxfId="838"/>
    <tableColumn id="4" xr3:uid="{00000000-0010-0000-1200-000004000000}" name="защита" dataDxfId="837"/>
    <tableColumn id="15" xr3:uid="{00000000-0010-0000-1200-00000F000000}" name="бонус мод3" dataDxfId="836"/>
    <tableColumn id="5" xr3:uid="{00000000-0010-0000-1200-000005000000}" name="конт." dataDxfId="835"/>
    <tableColumn id="6" xr3:uid="{00000000-0010-0000-1200-000006000000}" name="отр." dataDxfId="834"/>
    <tableColumn id="7" xr3:uid="{00000000-0010-0000-1200-000007000000}" name="шок." dataDxfId="833"/>
    <tableColumn id="20" xr3:uid="{00000000-0010-0000-1200-000014000000}" name="бонус мод2" dataDxfId="832"/>
    <tableColumn id="8" xr3:uid="{00000000-0010-0000-1200-000008000000}" name="кр.укл." dataDxfId="831"/>
    <tableColumn id="21" xr3:uid="{00000000-0010-0000-1200-000015000000}" name="бонус мод4" dataDxfId="830"/>
    <tableColumn id="9" xr3:uid="{00000000-0010-0000-1200-000009000000}" name="кр.защ." dataDxfId="829"/>
    <tableColumn id="22" xr3:uid="{00000000-0010-0000-1200-000016000000}" name="бонус мод5" dataDxfId="828"/>
    <tableColumn id="10" xr3:uid="{00000000-0010-0000-1200-00000A000000}" name="Рикошет" dataDxfId="827"/>
    <tableColumn id="11" xr3:uid="{00000000-0010-0000-1200-00000B000000}" name="снижениеурона" dataDxfId="826"/>
    <tableColumn id="12" xr3:uid="{00000000-0010-0000-1200-00000C000000}" name="бонус мод6" dataDxfId="825">
      <calculatedColumnFormula>Примерочная!$L$11*VLOOKUP(Таблица_брюки[[#This Row],[название]],Таблица_моды_брюки[],12,0)</calculatedColumnFormula>
    </tableColumn>
    <tableColumn id="13" xr3:uid="{00000000-0010-0000-1200-00000D000000}" name="эфф.апт." dataDxfId="824"/>
    <tableColumn id="14" xr3:uid="{00000000-0010-0000-1200-00000E000000}" name="бонус мод7" dataDxfId="823">
      <calculatedColumnFormula>Примерочная!$K$11*VLOOKUP(Таблица_брюки[[#This Row],[название]],Таблица_моды_брюки[],13,0)</calculatedColumnFormula>
    </tableColumn>
    <tableColumn id="17" xr3:uid="{00000000-0010-0000-1200-000011000000}" name="здоровье" dataDxfId="822"/>
    <tableColumn id="18" xr3:uid="{00000000-0010-0000-1200-000012000000}" name="бонус мод8" dataDxfId="821">
      <calculatedColumnFormula>Примерочная!$K$11*VLOOKUP(Таблица_брюки[[#This Row],[название]],Таблица_моды_брюки[],14,0)</calculatedColumnFormula>
    </tableColumn>
    <tableColumn id="19" xr3:uid="{00000000-0010-0000-1200-000013000000}" name="Токсичность" dataDxfId="820"/>
    <tableColumn id="23" xr3:uid="{00000000-0010-0000-1200-000017000000}" name="ШВ броня" dataDxfId="819"/>
    <tableColumn id="24" xr3:uid="{00000000-0010-0000-1200-000018000000}" name="СВ броня" dataDxfId="818"/>
    <tableColumn id="25" xr3:uid="{00000000-0010-0000-1200-000019000000}" name="Танк Броня" dataDxfId="817"/>
    <tableColumn id="26" xr3:uid="{00000000-0010-0000-1200-00001A000000}" name="Исп. Брони" dataDxfId="816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13000000}" name="Таблица_куртки" displayName="Таблица_куртки" ref="A33:Z62" totalsRowShown="0" headerRowDxfId="815" dataDxfId="813" headerRowBorderDxfId="814" tableBorderDxfId="812" totalsRowBorderDxfId="811">
  <autoFilter ref="A33:Z62" xr:uid="{00000000-0009-0000-0100-00003C000000}"/>
  <tableColumns count="26">
    <tableColumn id="1" xr3:uid="{00000000-0010-0000-1300-000001000000}" name="название" dataDxfId="810"/>
    <tableColumn id="2" xr3:uid="{00000000-0010-0000-1300-000002000000}" name="картинка" dataDxfId="809"/>
    <tableColumn id="3" xr3:uid="{00000000-0010-0000-1300-000003000000}" name="маскировка" dataDxfId="808"/>
    <tableColumn id="17" xr3:uid="{00000000-0010-0000-1300-000011000000}" name="бонус мод" dataDxfId="807"/>
    <tableColumn id="4" xr3:uid="{00000000-0010-0000-1300-000004000000}" name="защита" dataDxfId="806"/>
    <tableColumn id="16" xr3:uid="{00000000-0010-0000-1300-000010000000}" name="бонус мод3" dataDxfId="805"/>
    <tableColumn id="5" xr3:uid="{00000000-0010-0000-1300-000005000000}" name="конт." dataDxfId="804"/>
    <tableColumn id="6" xr3:uid="{00000000-0010-0000-1300-000006000000}" name="отр." dataDxfId="803"/>
    <tableColumn id="7" xr3:uid="{00000000-0010-0000-1300-000007000000}" name="шок." dataDxfId="802"/>
    <tableColumn id="12" xr3:uid="{00000000-0010-0000-1300-00000C000000}" name="бонус мод2" dataDxfId="801"/>
    <tableColumn id="8" xr3:uid="{00000000-0010-0000-1300-000008000000}" name="кр.укл." dataDxfId="800"/>
    <tableColumn id="19" xr3:uid="{00000000-0010-0000-1300-000013000000}" name="бонус мод4" dataDxfId="799"/>
    <tableColumn id="9" xr3:uid="{00000000-0010-0000-1300-000009000000}" name="кр.защ." dataDxfId="798"/>
    <tableColumn id="20" xr3:uid="{00000000-0010-0000-1300-000014000000}" name="бонус мод5" dataDxfId="797"/>
    <tableColumn id="10" xr3:uid="{00000000-0010-0000-1300-00000A000000}" name="Рикошет" dataDxfId="796"/>
    <tableColumn id="13" xr3:uid="{00000000-0010-0000-1300-00000D000000}" name="снижениеурона" dataDxfId="795"/>
    <tableColumn id="14" xr3:uid="{00000000-0010-0000-1300-00000E000000}" name="бонус мод6" dataDxfId="794">
      <calculatedColumnFormula>Примерочная!L10*VLOOKUP(Примерочная!$A$2,Таблица_моды_куртки[],12,0)</calculatedColumnFormula>
    </tableColumn>
    <tableColumn id="15" xr3:uid="{00000000-0010-0000-1300-00000F000000}" name="эфф.апт." dataDxfId="793"/>
    <tableColumn id="11" xr3:uid="{00000000-0010-0000-1300-00000B000000}" name="бонус мод7" dataDxfId="792"/>
    <tableColumn id="18" xr3:uid="{00000000-0010-0000-1300-000012000000}" name="здоровье" dataDxfId="791"/>
    <tableColumn id="21" xr3:uid="{00000000-0010-0000-1300-000015000000}" name="бонус мод8" dataDxfId="790"/>
    <tableColumn id="22" xr3:uid="{00000000-0010-0000-1300-000016000000}" name="Токсичность" dataDxfId="789"/>
    <tableColumn id="23" xr3:uid="{00000000-0010-0000-1300-000017000000}" name="ШВ броня" dataDxfId="788"/>
    <tableColumn id="24" xr3:uid="{00000000-0010-0000-1300-000018000000}" name="СВ броня" dataDxfId="787"/>
    <tableColumn id="25" xr3:uid="{00000000-0010-0000-1300-000019000000}" name="Танк Броня" dataDxfId="786"/>
    <tableColumn id="26" xr3:uid="{00000000-0010-0000-1300-00001A000000}" name="Исп. Брони" dataDxfId="785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0000000-000C-0000-FFFF-FFFF14000000}" name="Таблица_щиты" displayName="Таблица_щиты" ref="A95:R104" totalsRowShown="0" headerRowDxfId="784" dataDxfId="782" headerRowBorderDxfId="783" tableBorderDxfId="781" totalsRowBorderDxfId="780">
  <autoFilter ref="A95:R104" xr:uid="{00000000-0009-0000-0100-000055000000}"/>
  <tableColumns count="18">
    <tableColumn id="1" xr3:uid="{00000000-0010-0000-1400-000001000000}" name="название" dataDxfId="779"/>
    <tableColumn id="2" xr3:uid="{00000000-0010-0000-1400-000002000000}" name="иконки" dataDxfId="778"/>
    <tableColumn id="3" xr3:uid="{00000000-0010-0000-1400-000003000000}" name="маскировка" dataDxfId="777"/>
    <tableColumn id="4" xr3:uid="{00000000-0010-0000-1400-000004000000}" name="бонус мод" dataDxfId="776"/>
    <tableColumn id="5" xr3:uid="{00000000-0010-0000-1400-000005000000}" name="защита" dataDxfId="775"/>
    <tableColumn id="6" xr3:uid="{00000000-0010-0000-1400-000006000000}" name="бонус мод2" dataDxfId="774"/>
    <tableColumn id="7" xr3:uid="{00000000-0010-0000-1400-000007000000}" name="контузия" dataDxfId="773"/>
    <tableColumn id="8" xr3:uid="{00000000-0010-0000-1400-000008000000}" name="отравление" dataDxfId="772"/>
    <tableColumn id="9" xr3:uid="{00000000-0010-0000-1400-000009000000}" name="шок" dataDxfId="771"/>
    <tableColumn id="10" xr3:uid="{00000000-0010-0000-1400-00000A000000}" name="бонус мод3" dataDxfId="770"/>
    <tableColumn id="11" xr3:uid="{00000000-0010-0000-1400-00000B000000}" name="рикошет" dataDxfId="769"/>
    <tableColumn id="12" xr3:uid="{00000000-0010-0000-1400-00000C000000}" name="бонус мод4" dataDxfId="768"/>
    <tableColumn id="13" xr3:uid="{00000000-0010-0000-1400-00000D000000}" name="крит щащита" dataDxfId="767"/>
    <tableColumn id="14" xr3:uid="{00000000-0010-0000-1400-00000E000000}" name="бонус мод5" dataDxfId="766"/>
    <tableColumn id="15" xr3:uid="{00000000-0010-0000-1400-00000F000000}" name="снижение урона" dataDxfId="765"/>
    <tableColumn id="16" xr3:uid="{00000000-0010-0000-1400-000010000000}" name="бонус мод6" dataDxfId="764"/>
    <tableColumn id="17" xr3:uid="{00000000-0010-0000-1400-000011000000}" name="крит уклонение" dataDxfId="763"/>
    <tableColumn id="18" xr3:uid="{00000000-0010-0000-1400-000012000000}" name="бонус мод7" dataDxfId="762"/>
  </tableColumns>
  <tableStyleInfo name="TableStyleLight8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15000000}" name="Таблица_бонусов_сетов" displayName="Таблица_бонусов_сетов" ref="AB1:BB31" totalsRowShown="0" headerRowDxfId="761" dataDxfId="759" headerRowBorderDxfId="760" tableBorderDxfId="758" totalsRowBorderDxfId="757">
  <autoFilter ref="AB1:BB31" xr:uid="{00000000-0009-0000-0100-000037000000}"/>
  <tableColumns count="27">
    <tableColumn id="1" xr3:uid="{00000000-0010-0000-1500-000001000000}" name="название" dataDxfId="756"/>
    <tableColumn id="2" xr3:uid="{00000000-0010-0000-1500-000002000000}" name="название бонуса" dataDxfId="755"/>
    <tableColumn id="3" xr3:uid="{00000000-0010-0000-1500-000003000000}" name="эффект" dataDxfId="754"/>
    <tableColumn id="5" xr3:uid="{00000000-0010-0000-1500-000005000000}" name="название бонуса2" dataDxfId="753"/>
    <tableColumn id="6" xr3:uid="{00000000-0010-0000-1500-000006000000}" name="эффект2" dataDxfId="752"/>
    <tableColumn id="7" xr3:uid="{00000000-0010-0000-1500-000007000000}" name="название бонуса3" dataDxfId="751"/>
    <tableColumn id="8" xr3:uid="{00000000-0010-0000-1500-000008000000}" name="эффект3" dataDxfId="750"/>
    <tableColumn id="9" xr3:uid="{00000000-0010-0000-1500-000009000000}" name="название бонуса4" dataDxfId="749"/>
    <tableColumn id="10" xr3:uid="{00000000-0010-0000-1500-00000A000000}" name="эффект4" dataDxfId="748"/>
    <tableColumn id="11" xr3:uid="{00000000-0010-0000-1500-00000B000000}" name="название бонуса5" dataDxfId="747"/>
    <tableColumn id="12" xr3:uid="{00000000-0010-0000-1500-00000C000000}" name="эффект5" dataDxfId="746"/>
    <tableColumn id="13" xr3:uid="{00000000-0010-0000-1500-00000D000000}" name="название бонуса6" dataDxfId="745"/>
    <tableColumn id="14" xr3:uid="{00000000-0010-0000-1500-00000E000000}" name="эффект6" dataDxfId="744"/>
    <tableColumn id="15" xr3:uid="{00000000-0010-0000-1500-00000F000000}" name="название бонуса7" dataDxfId="743"/>
    <tableColumn id="16" xr3:uid="{00000000-0010-0000-1500-000010000000}" name="эффект7" dataDxfId="742"/>
    <tableColumn id="17" xr3:uid="{00000000-0010-0000-1500-000011000000}" name="название бонуса8" dataDxfId="741"/>
    <tableColumn id="18" xr3:uid="{00000000-0010-0000-1500-000012000000}" name="эффект8" dataDxfId="740"/>
    <tableColumn id="20" xr3:uid="{00000000-0010-0000-1500-000014000000}" name="название бонуса9" dataDxfId="739"/>
    <tableColumn id="21" xr3:uid="{00000000-0010-0000-1500-000015000000}" name="эффект9" dataDxfId="738"/>
    <tableColumn id="22" xr3:uid="{00000000-0010-0000-1500-000016000000}" name="название бонуса10" dataDxfId="737"/>
    <tableColumn id="23" xr3:uid="{00000000-0010-0000-1500-000017000000}" name="эффект10" dataDxfId="736"/>
    <tableColumn id="4" xr3:uid="{00000000-0010-0000-1500-000004000000}" name="эффект11" dataDxfId="735"/>
    <tableColumn id="19" xr3:uid="{00000000-0010-0000-1500-000013000000}" name="эффект12" dataDxfId="734"/>
    <tableColumn id="24" xr3:uid="{00000000-0010-0000-1500-000018000000}" name="эффект13" dataDxfId="733"/>
    <tableColumn id="25" xr3:uid="{00000000-0010-0000-1500-000019000000}" name="эффект14" dataDxfId="732"/>
    <tableColumn id="26" xr3:uid="{00000000-0010-0000-1500-00001A000000}" name="эффект15" dataDxfId="731"/>
    <tableColumn id="27" xr3:uid="{00000000-0010-0000-1500-00001B000000}" name="эффект16" dataDxfId="730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6000000}" name="Таблица_навык_урон" displayName="Таблица_навык_урон" ref="A35:E66" totalsRowShown="0" headerRowDxfId="729" dataDxfId="727" headerRowBorderDxfId="728" tableBorderDxfId="726" totalsRowBorderDxfId="725">
  <autoFilter ref="A35:E66" xr:uid="{00000000-0009-0000-0100-000005000000}"/>
  <tableColumns count="5">
    <tableColumn id="1" xr3:uid="{00000000-0010-0000-1600-000001000000}" name="Урон" dataDxfId="724"/>
    <tableColumn id="2" xr3:uid="{00000000-0010-0000-1600-000002000000}" name="опыт" dataDxfId="723"/>
    <tableColumn id="3" xr3:uid="{00000000-0010-0000-1600-000003000000}" name="всего" dataDxfId="722"/>
    <tableColumn id="4" xr3:uid="{00000000-0010-0000-1600-000004000000}" name="урон2" dataDxfId="721"/>
    <tableColumn id="5" xr3:uid="{00000000-0010-0000-1600-000005000000}" name="всего2" dataDxfId="720"/>
  </tableColumns>
  <tableStyleInfo name="TableStyleLight15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7000000}" name="Таблица_навык_крит._урон" displayName="Таблица_навык_крит._урон" ref="G35:K66" totalsRowShown="0" headerRowDxfId="719" dataDxfId="717" headerRowBorderDxfId="718" tableBorderDxfId="716" totalsRowBorderDxfId="715">
  <autoFilter ref="G35:K66" xr:uid="{00000000-0009-0000-0100-000006000000}"/>
  <tableColumns count="5">
    <tableColumn id="1" xr3:uid="{00000000-0010-0000-1700-000001000000}" name="крит урон" dataDxfId="714"/>
    <tableColumn id="2" xr3:uid="{00000000-0010-0000-1700-000002000000}" name="опыт" dataDxfId="713"/>
    <tableColumn id="3" xr3:uid="{00000000-0010-0000-1700-000003000000}" name="всего" dataDxfId="712"/>
    <tableColumn id="4" xr3:uid="{00000000-0010-0000-1700-000004000000}" name="Крит. Урон2" dataDxfId="711"/>
    <tableColumn id="5" xr3:uid="{00000000-0010-0000-1700-000005000000}" name="всего2" dataDxfId="710"/>
  </tableColumns>
  <tableStyleInfo name="TableStyleLight15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8000000}" name="Таблица_навык_крит._попадание" displayName="Таблица_навык_крит._попадание" ref="G68:K99" totalsRowShown="0" headerRowDxfId="709" dataDxfId="707" headerRowBorderDxfId="708" tableBorderDxfId="706" totalsRowBorderDxfId="705">
  <autoFilter ref="G68:K99" xr:uid="{00000000-0009-0000-0100-000008000000}"/>
  <tableColumns count="5">
    <tableColumn id="1" xr3:uid="{00000000-0010-0000-1800-000001000000}" name="крит.попадание" dataDxfId="704"/>
    <tableColumn id="2" xr3:uid="{00000000-0010-0000-1800-000002000000}" name="опыт" dataDxfId="703"/>
    <tableColumn id="3" xr3:uid="{00000000-0010-0000-1800-000003000000}" name="всего" dataDxfId="702"/>
    <tableColumn id="4" xr3:uid="{00000000-0010-0000-1800-000004000000}" name="крит. Попадание" dataDxfId="701"/>
    <tableColumn id="5" xr3:uid="{00000000-0010-0000-1800-000005000000}" name="всего2" dataDxfId="700"/>
  </tableColumns>
  <tableStyleInfo name="TableStyleLight15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9000000}" name="Таблица_навык_снайперские_винтовки" displayName="Таблица_навык_снайперские_винтовки" ref="A101:I137" totalsRowShown="0" headerRowDxfId="699" dataDxfId="697" headerRowBorderDxfId="698" tableBorderDxfId="696" totalsRowBorderDxfId="695">
  <autoFilter ref="A101:I137" xr:uid="{00000000-0009-0000-0100-00000A000000}"/>
  <tableColumns count="9">
    <tableColumn id="1" xr3:uid="{00000000-0010-0000-1900-000001000000}" name="СВ винтовки" dataDxfId="694"/>
    <tableColumn id="2" xr3:uid="{00000000-0010-0000-1900-000002000000}" name="опыт " dataDxfId="693"/>
    <tableColumn id="3" xr3:uid="{00000000-0010-0000-1900-000003000000}" name="всего" dataDxfId="692"/>
    <tableColumn id="4" xr3:uid="{00000000-0010-0000-1900-000004000000}" name="Крит. Поп." dataDxfId="691"/>
    <tableColumn id="5" xr3:uid="{00000000-0010-0000-1900-000005000000}" name="всего4" dataDxfId="690"/>
    <tableColumn id="6" xr3:uid="{00000000-0010-0000-1900-000006000000}" name="Крит. Урон СВ" dataDxfId="689"/>
    <tableColumn id="7" xr3:uid="{00000000-0010-0000-1900-000007000000}" name="всего3" dataDxfId="688"/>
    <tableColumn id="8" xr3:uid="{00000000-0010-0000-1900-000008000000}" name="Урон СВ" dataDxfId="687"/>
    <tableColumn id="9" xr3:uid="{00000000-0010-0000-1900-000009000000}" name="всего2" dataDxfId="686">
      <calculatedColumnFormula>Таблица_навык_снайперские_винтовки[[#This Row],[Урон СВ]]+I101</calculatedColumnFormula>
    </tableColumn>
  </tableColumns>
  <tableStyleInfo name="TableStyleLight15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A000000}" name="Таблица_навык_штурмовые_винтовки" displayName="Таблица_навык_штурмовые_винтовки" ref="A139:I175" totalsRowShown="0" headerRowDxfId="685" dataDxfId="683" headerRowBorderDxfId="684" tableBorderDxfId="682" totalsRowBorderDxfId="681">
  <autoFilter ref="A139:I175" xr:uid="{00000000-0009-0000-0100-00000B000000}"/>
  <tableColumns count="9">
    <tableColumn id="1" xr3:uid="{00000000-0010-0000-1A00-000001000000}" name="ШВ винтовки" dataDxfId="680"/>
    <tableColumn id="2" xr3:uid="{00000000-0010-0000-1A00-000002000000}" name="опыт" dataDxfId="679"/>
    <tableColumn id="3" xr3:uid="{00000000-0010-0000-1A00-000003000000}" name="всего" dataDxfId="678"/>
    <tableColumn id="4" xr3:uid="{00000000-0010-0000-1A00-000004000000}" name="Урон ШВ" dataDxfId="677"/>
    <tableColumn id="5" xr3:uid="{00000000-0010-0000-1A00-000005000000}" name="всего4" dataDxfId="676"/>
    <tableColumn id="6" xr3:uid="{00000000-0010-0000-1A00-000006000000}" name="Точность ШВ" dataDxfId="675"/>
    <tableColumn id="7" xr3:uid="{00000000-0010-0000-1A00-000007000000}" name="всего3" dataDxfId="674"/>
    <tableColumn id="8" xr3:uid="{00000000-0010-0000-1A00-000008000000}" name="Крит урон ШВ" dataDxfId="673"/>
    <tableColumn id="9" xr3:uid="{00000000-0010-0000-1A00-000009000000}" name="всего2" dataDxfId="672"/>
  </tableColumns>
  <tableStyleInfo name="TableStyleLight15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B000000}" name="Таблица_навык_пулиметы" displayName="Таблица_навык_пулиметы" ref="A177:I213" totalsRowShown="0" headerRowDxfId="671" dataDxfId="669" headerRowBorderDxfId="670" tableBorderDxfId="668" totalsRowBorderDxfId="667">
  <autoFilter ref="A177:I213" xr:uid="{00000000-0009-0000-0100-00000D000000}"/>
  <tableColumns count="9">
    <tableColumn id="1" xr3:uid="{00000000-0010-0000-1B00-000001000000}" name="пулиметы" dataDxfId="666"/>
    <tableColumn id="2" xr3:uid="{00000000-0010-0000-1B00-000002000000}" name="опыт" dataDxfId="665"/>
    <tableColumn id="3" xr3:uid="{00000000-0010-0000-1B00-000003000000}" name="всего" dataDxfId="664"/>
    <tableColumn id="4" xr3:uid="{00000000-0010-0000-1B00-000004000000}" name="урон пул." dataDxfId="663"/>
    <tableColumn id="5" xr3:uid="{00000000-0010-0000-1B00-000005000000}" name="всего4" dataDxfId="662"/>
    <tableColumn id="6" xr3:uid="{00000000-0010-0000-1B00-000006000000}" name="точность пул. " dataDxfId="661"/>
    <tableColumn id="7" xr3:uid="{00000000-0010-0000-1B00-000007000000}" name="всего3" dataDxfId="660"/>
    <tableColumn id="8" xr3:uid="{00000000-0010-0000-1B00-000008000000}" name="крит.урон пул." dataDxfId="659"/>
    <tableColumn id="9" xr3:uid="{00000000-0010-0000-1B00-000009000000}" name="всего2" dataDxfId="658"/>
  </tableColumns>
  <tableStyleInfo name="TableStyleLight15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1C000000}" name="Таблица_навык_дробовики" displayName="Таблица_навык_дробовики" ref="A215:I251" totalsRowShown="0" headerRowDxfId="657" dataDxfId="655" headerRowBorderDxfId="656" tableBorderDxfId="654" totalsRowBorderDxfId="653">
  <autoFilter ref="A215:I251" xr:uid="{00000000-0009-0000-0100-00000E000000}"/>
  <tableColumns count="9">
    <tableColumn id="1" xr3:uid="{00000000-0010-0000-1C00-000001000000}" name="дробовики" dataDxfId="652"/>
    <tableColumn id="2" xr3:uid="{00000000-0010-0000-1C00-000002000000}" name="опыт" dataDxfId="651"/>
    <tableColumn id="3" xr3:uid="{00000000-0010-0000-1C00-000003000000}" name="всего" dataDxfId="650"/>
    <tableColumn id="4" xr3:uid="{00000000-0010-0000-1C00-000004000000}" name="урон" dataDxfId="649"/>
    <tableColumn id="5" xr3:uid="{00000000-0010-0000-1C00-000005000000}" name="всего2" dataDxfId="648"/>
    <tableColumn id="6" xr3:uid="{00000000-0010-0000-1C00-000006000000}" name="точность" dataDxfId="647"/>
    <tableColumn id="7" xr3:uid="{00000000-0010-0000-1C00-000007000000}" name="всего3" dataDxfId="646"/>
    <tableColumn id="8" xr3:uid="{00000000-0010-0000-1C00-000008000000}" name="дальность" dataDxfId="645"/>
    <tableColumn id="9" xr3:uid="{00000000-0010-0000-1C00-000009000000}" name="всего4" dataDxfId="644"/>
  </tableColumns>
  <tableStyleInfo name="TableStyleLight15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D000000}" name="Таблица_навык_мины" displayName="Таблица_навык_мины" ref="A253:I284" totalsRowShown="0" headerRowDxfId="643" dataDxfId="641" headerRowBorderDxfId="642" tableBorderDxfId="640" totalsRowBorderDxfId="639">
  <autoFilter ref="A253:I284" xr:uid="{00000000-0009-0000-0100-00000F000000}"/>
  <tableColumns count="9">
    <tableColumn id="1" xr3:uid="{00000000-0010-0000-1D00-000001000000}" name="мины " dataDxfId="638"/>
    <tableColumn id="2" xr3:uid="{00000000-0010-0000-1D00-000002000000}" name="опыт" dataDxfId="637"/>
    <tableColumn id="3" xr3:uid="{00000000-0010-0000-1D00-000003000000}" name="всего" dataDxfId="636"/>
    <tableColumn id="4" xr3:uid="{00000000-0010-0000-1D00-000004000000}" name="урон" dataDxfId="635"/>
    <tableColumn id="5" xr3:uid="{00000000-0010-0000-1D00-000005000000}" name="всего4" dataDxfId="634"/>
    <tableColumn id="6" xr3:uid="{00000000-0010-0000-1D00-000006000000}" name="од" dataDxfId="633">
      <calculatedColumnFormula>SUM(Таблица_навык_мины[[#This Row],[всего4]],F253)</calculatedColumnFormula>
    </tableColumn>
    <tableColumn id="7" xr3:uid="{00000000-0010-0000-1D00-000007000000}" name="всего3" dataDxfId="632"/>
    <tableColumn id="8" xr3:uid="{00000000-0010-0000-1D00-000008000000}" name="радиус" dataDxfId="631"/>
    <tableColumn id="9" xr3:uid="{00000000-0010-0000-1D00-000009000000}" name="всего2" dataDxfId="630"/>
  </tableColumns>
  <tableStyleInfo name="TableStyleLight15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E000000}" name="Таблица_навык_гранаты" displayName="Таблица_навык_гранаты" ref="A286:I317" totalsRowShown="0" headerRowDxfId="629" dataDxfId="627" headerRowBorderDxfId="628" tableBorderDxfId="626" totalsRowBorderDxfId="625">
  <autoFilter ref="A286:I317" xr:uid="{00000000-0009-0000-0100-000010000000}"/>
  <tableColumns count="9">
    <tableColumn id="1" xr3:uid="{00000000-0010-0000-1E00-000001000000}" name="гранаты" dataDxfId="624"/>
    <tableColumn id="2" xr3:uid="{00000000-0010-0000-1E00-000002000000}" name="опыт" dataDxfId="623"/>
    <tableColumn id="3" xr3:uid="{00000000-0010-0000-1E00-000003000000}" name="всего" dataDxfId="622"/>
    <tableColumn id="4" xr3:uid="{00000000-0010-0000-1E00-000004000000}" name="урон" dataDxfId="621"/>
    <tableColumn id="5" xr3:uid="{00000000-0010-0000-1E00-000005000000}" name="всего2" dataDxfId="620"/>
    <tableColumn id="6" xr3:uid="{00000000-0010-0000-1E00-000006000000}" name="дальность2" dataDxfId="619"/>
    <tableColumn id="7" xr3:uid="{00000000-0010-0000-1E00-000007000000}" name="всего3" dataDxfId="618"/>
    <tableColumn id="8" xr3:uid="{00000000-0010-0000-1E00-000008000000}" name="радиус" dataDxfId="617"/>
    <tableColumn id="9" xr3:uid="{00000000-0010-0000-1E00-000009000000}" name="всего4" dataDxfId="616"/>
  </tableColumns>
  <tableStyleInfo name="TableStyleLight15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F000000}" name="Таблица_навык_эффективность_боеприпасов" displayName="Таблица_навык_эффективность_боеприпасов" ref="A319:E350" totalsRowShown="0" headerRowDxfId="615" dataDxfId="613" headerRowBorderDxfId="614" tableBorderDxfId="612" totalsRowBorderDxfId="611">
  <autoFilter ref="A319:E350" xr:uid="{00000000-0009-0000-0100-000011000000}"/>
  <tableColumns count="5">
    <tableColumn id="1" xr3:uid="{00000000-0010-0000-1F00-000001000000}" name="эф.боеприпасов" dataDxfId="610"/>
    <tableColumn id="2" xr3:uid="{00000000-0010-0000-1F00-000002000000}" name="опыт " dataDxfId="609"/>
    <tableColumn id="3" xr3:uid="{00000000-0010-0000-1F00-000003000000}" name="опыт всего" dataDxfId="608"/>
    <tableColumn id="4" xr3:uid="{00000000-0010-0000-1F00-000004000000}" name="эфф. Боеприпасов" dataDxfId="607"/>
    <tableColumn id="5" xr3:uid="{00000000-0010-0000-1F00-000005000000}" name="всего" dataDxfId="606">
      <calculatedColumnFormula>Таблица_навык_эффективность_боеприпасов[[#This Row],[эфф. Боеприпасов]]+E319</calculatedColumnFormula>
    </tableColumn>
  </tableColumns>
  <tableStyleInfo name="TableStyleLight15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20000000}" name="Таблица_навык_оружие" displayName="Таблица_навык_оружие" ref="A2:O33" totalsRowShown="0" headerRowDxfId="605" dataDxfId="603" headerRowBorderDxfId="604" tableBorderDxfId="602" totalsRowBorderDxfId="601" headerRowCellStyle="Пустой стиль" dataCellStyle="Пустой стиль">
  <autoFilter ref="A2:O33" xr:uid="{00000000-0009-0000-0100-000009000000}"/>
  <tableColumns count="15">
    <tableColumn id="1" xr3:uid="{00000000-0010-0000-2000-000001000000}" name="оружие" dataDxfId="600" dataCellStyle="Пустой стиль"/>
    <tableColumn id="2" xr3:uid="{00000000-0010-0000-2000-000002000000}" name="опыт" dataDxfId="599" dataCellStyle="Пустой стиль"/>
    <tableColumn id="3" xr3:uid="{00000000-0010-0000-2000-000003000000}" name="всего" dataDxfId="598" dataCellStyle="Пустой стиль"/>
    <tableColumn id="4" xr3:uid="{00000000-0010-0000-2000-000004000000}" name="мобильность" dataDxfId="597" dataCellStyle="Пустой стиль">
      <calculatedColumnFormula>#REF!</calculatedColumnFormula>
    </tableColumn>
    <tableColumn id="5" xr3:uid="{00000000-0010-0000-2000-000005000000}" name="всего2" dataDxfId="596" dataCellStyle="Пустой стиль"/>
    <tableColumn id="6" xr3:uid="{00000000-0010-0000-2000-000006000000}" name="крит.урон" dataDxfId="595" dataCellStyle="Пустой стиль"/>
    <tableColumn id="7" xr3:uid="{00000000-0010-0000-2000-000007000000}" name="всего3" dataDxfId="594" dataCellStyle="Пустой стиль"/>
    <tableColumn id="8" xr3:uid="{00000000-0010-0000-2000-000008000000}" name="крит.попадание" dataDxfId="593" dataCellStyle="Пустой стиль"/>
    <tableColumn id="9" xr3:uid="{00000000-0010-0000-2000-000009000000}" name="всего4" dataDxfId="592" dataCellStyle="Пустой стиль"/>
    <tableColumn id="10" xr3:uid="{00000000-0010-0000-2000-00000A000000}" name="точность" dataDxfId="591" dataCellStyle="Пустой стиль"/>
    <tableColumn id="11" xr3:uid="{00000000-0010-0000-2000-00000B000000}" name="всего5" dataDxfId="590" dataCellStyle="Пустой стиль"/>
    <tableColumn id="12" xr3:uid="{00000000-0010-0000-2000-00000C000000}" name="дальность" dataDxfId="589" dataCellStyle="Пустой стиль"/>
    <tableColumn id="13" xr3:uid="{00000000-0010-0000-2000-00000D000000}" name="всего6" dataDxfId="588" dataCellStyle="Пустой стиль"/>
    <tableColumn id="14" xr3:uid="{00000000-0010-0000-2000-00000E000000}" name="урон" dataDxfId="587" dataCellStyle="Пустой стиль"/>
    <tableColumn id="15" xr3:uid="{00000000-0010-0000-2000-00000F000000}" name="всего7" dataDxfId="586" dataCellStyle="Пустой стиль"/>
  </tableColumns>
  <tableStyleInfo name="TableStyleLight15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21000000}" name="Таблица_навык_точность" displayName="Таблица_навык_точность" ref="A68:E99" totalsRowShown="0" headerRowDxfId="585" dataDxfId="583" headerRowBorderDxfId="584" tableBorderDxfId="582" totalsRowBorderDxfId="581">
  <autoFilter ref="A68:E99" xr:uid="{00000000-0009-0000-0100-00000C000000}"/>
  <tableColumns count="5">
    <tableColumn id="1" xr3:uid="{00000000-0010-0000-2100-000001000000}" name="точность" dataDxfId="580"/>
    <tableColumn id="2" xr3:uid="{00000000-0010-0000-2100-000002000000}" name="опыт" dataDxfId="579"/>
    <tableColumn id="3" xr3:uid="{00000000-0010-0000-2100-000003000000}" name="всего" dataDxfId="578"/>
    <tableColumn id="4" xr3:uid="{00000000-0010-0000-2100-000004000000}" name="точность " dataDxfId="577"/>
    <tableColumn id="5" xr3:uid="{00000000-0010-0000-2100-000005000000}" name="всего2" dataDxfId="576"/>
  </tableColumns>
  <tableStyleInfo name="TableStyleLight15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22000000}" name="Таблица_навык_использование_брони" displayName="Таблица_навык_использование_брони" ref="Q2:AC33" totalsRowShown="0" headerRowDxfId="575" dataDxfId="573" headerRowBorderDxfId="574" tableBorderDxfId="572" totalsRowBorderDxfId="571">
  <autoFilter ref="Q2:AC33" xr:uid="{00000000-0009-0000-0100-000012000000}"/>
  <tableColumns count="13">
    <tableColumn id="1" xr3:uid="{00000000-0010-0000-2200-000001000000}" name="использов.брони" dataDxfId="570"/>
    <tableColumn id="2" xr3:uid="{00000000-0010-0000-2200-000002000000}" name="опыт" dataDxfId="569"/>
    <tableColumn id="3" xr3:uid="{00000000-0010-0000-2200-000003000000}" name="всего" dataDxfId="568"/>
    <tableColumn id="4" xr3:uid="{00000000-0010-0000-2200-000004000000}" name="защита" dataDxfId="567"/>
    <tableColumn id="5" xr3:uid="{00000000-0010-0000-2200-000005000000}" name="всего2" dataDxfId="566"/>
    <tableColumn id="6" xr3:uid="{00000000-0010-0000-2200-000006000000}" name="маскировка" dataDxfId="565"/>
    <tableColumn id="7" xr3:uid="{00000000-0010-0000-2200-000007000000}" name="всего3" dataDxfId="564"/>
    <tableColumn id="8" xr3:uid="{00000000-0010-0000-2200-000008000000}" name="крит.защита" dataDxfId="563"/>
    <tableColumn id="9" xr3:uid="{00000000-0010-0000-2200-000009000000}" name="всего4" dataDxfId="562"/>
    <tableColumn id="10" xr3:uid="{00000000-0010-0000-2200-00000A000000}" name="крит.уклонение2" dataDxfId="561"/>
    <tableColumn id="11" xr3:uid="{00000000-0010-0000-2200-00000B000000}" name="всего5" dataDxfId="560"/>
    <tableColumn id="12" xr3:uid="{00000000-0010-0000-2200-00000C000000}" name="сопротив.эффект." dataDxfId="559"/>
    <tableColumn id="13" xr3:uid="{00000000-0010-0000-2200-00000D000000}" name="всего6" dataDxfId="558"/>
  </tableColumns>
  <tableStyleInfo name="TableStyleLight15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23000000}" name="Таблица_навык_защита" displayName="Таблица_навык_защита" ref="Q35:U66" totalsRowShown="0" headerRowDxfId="557" dataDxfId="556" tableBorderDxfId="555">
  <autoFilter ref="Q35:U66" xr:uid="{00000000-0009-0000-0100-000013000000}"/>
  <tableColumns count="5">
    <tableColumn id="1" xr3:uid="{00000000-0010-0000-2300-000001000000}" name="защита" dataDxfId="554"/>
    <tableColumn id="2" xr3:uid="{00000000-0010-0000-2300-000002000000}" name="опыт" dataDxfId="553"/>
    <tableColumn id="3" xr3:uid="{00000000-0010-0000-2300-000003000000}" name="всего" dataDxfId="552"/>
    <tableColumn id="4" xr3:uid="{00000000-0010-0000-2300-000004000000}" name="защита2" dataDxfId="551">
      <calculatedColumnFormula>SUM(T36+T37)</calculatedColumnFormula>
    </tableColumn>
    <tableColumn id="5" xr3:uid="{00000000-0010-0000-2300-000005000000}" name="всего2" dataDxfId="550"/>
  </tableColumns>
  <tableStyleInfo name="TableStyleLight15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24000000}" name="Таблица_навык_крит._защита" displayName="Таблица_навык_крит._защита" ref="W35:AA66" totalsRowShown="0" headerRowDxfId="549" dataDxfId="548" tableBorderDxfId="547">
  <autoFilter ref="W35:AA66" xr:uid="{00000000-0009-0000-0100-000014000000}"/>
  <tableColumns count="5">
    <tableColumn id="1" xr3:uid="{00000000-0010-0000-2400-000001000000}" name="крит.защита" dataDxfId="546"/>
    <tableColumn id="2" xr3:uid="{00000000-0010-0000-2400-000002000000}" name="опыт" dataDxfId="545"/>
    <tableColumn id="3" xr3:uid="{00000000-0010-0000-2400-000003000000}" name="всего" dataDxfId="544"/>
    <tableColumn id="4" xr3:uid="{00000000-0010-0000-2400-000004000000}" name="крит. Защита" dataDxfId="543">
      <calculatedColumnFormula>SUM(Z35+Y36)</calculatedColumnFormula>
    </tableColumn>
    <tableColumn id="5" xr3:uid="{00000000-0010-0000-2400-000005000000}" name="всего2" dataDxfId="542"/>
  </tableColumns>
  <tableStyleInfo name="TableStyleLight15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25000000}" name="Таблица_навык_маскировка" displayName="Таблица_навык_маскировка" ref="Q68:U99" totalsRowShown="0" headerRowDxfId="541" dataDxfId="540" tableBorderDxfId="539">
  <autoFilter ref="Q68:U99" xr:uid="{00000000-0009-0000-0100-000015000000}"/>
  <tableColumns count="5">
    <tableColumn id="1" xr3:uid="{00000000-0010-0000-2500-000001000000}" name="маскировка" dataDxfId="538"/>
    <tableColumn id="2" xr3:uid="{00000000-0010-0000-2500-000002000000}" name="опыт" dataDxfId="537"/>
    <tableColumn id="3" xr3:uid="{00000000-0010-0000-2500-000003000000}" name="всего" dataDxfId="536"/>
    <tableColumn id="4" xr3:uid="{00000000-0010-0000-2500-000004000000}" name="маскировка2" dataDxfId="535">
      <calculatedColumnFormula>SUM(T69+T70)</calculatedColumnFormula>
    </tableColumn>
    <tableColumn id="5" xr3:uid="{00000000-0010-0000-2500-000005000000}" name="всего2" dataDxfId="534"/>
  </tableColumns>
  <tableStyleInfo name="TableStyleLight15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26000000}" name="Таблица_навык_крит._уклонение" displayName="Таблица_навык_крит._уклонение" ref="W68:AA99" totalsRowShown="0" headerRowDxfId="533" dataDxfId="532" tableBorderDxfId="531">
  <autoFilter ref="W68:AA99" xr:uid="{00000000-0009-0000-0100-000016000000}"/>
  <tableColumns count="5">
    <tableColumn id="1" xr3:uid="{00000000-0010-0000-2600-000001000000}" name="крит.уклонение" dataDxfId="530"/>
    <tableColumn id="2" xr3:uid="{00000000-0010-0000-2600-000002000000}" name="опыт" dataDxfId="529"/>
    <tableColumn id="3" xr3:uid="{00000000-0010-0000-2600-000003000000}" name="всего" dataDxfId="528"/>
    <tableColumn id="4" xr3:uid="{00000000-0010-0000-2600-000004000000}" name="крит.уклонение2" dataDxfId="527">
      <calculatedColumnFormula>SUM(Z69+Z70)</calculatedColumnFormula>
    </tableColumn>
    <tableColumn id="5" xr3:uid="{00000000-0010-0000-2600-000005000000}" name="всего2" dataDxfId="526"/>
  </tableColumns>
  <tableStyleInfo name="TableStyleLight15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27000000}" name="Таблица_навык_ТБ" displayName="Таблица_навык_ТБ" ref="Q101:W137" totalsRowShown="0" headerRowDxfId="525" dataDxfId="524" tableBorderDxfId="523">
  <autoFilter ref="Q101:W137" xr:uid="{00000000-0009-0000-0100-000017000000}"/>
  <tableColumns count="7">
    <tableColumn id="1" xr3:uid="{00000000-0010-0000-2700-000001000000}" name="Тактическая" dataDxfId="522"/>
    <tableColumn id="2" xr3:uid="{00000000-0010-0000-2700-000002000000}" name="опыт" dataDxfId="521"/>
    <tableColumn id="3" xr3:uid="{00000000-0010-0000-2700-000003000000}" name="всего" dataDxfId="520"/>
    <tableColumn id="4" xr3:uid="{00000000-0010-0000-2700-000004000000}" name="маскировка" dataDxfId="519">
      <calculatedColumnFormula>SUM(#REF!+S102)</calculatedColumnFormula>
    </tableColumn>
    <tableColumn id="5" xr3:uid="{00000000-0010-0000-2700-000005000000}" name="всего2" dataDxfId="518"/>
    <tableColumn id="6" xr3:uid="{00000000-0010-0000-2700-000006000000}" name="крит уклонение" dataDxfId="517">
      <calculatedColumnFormula>SUM(Таблица_навык_ТБ[[#This Row],[всего2]],V101)</calculatedColumnFormula>
    </tableColumn>
    <tableColumn id="7" xr3:uid="{00000000-0010-0000-2700-000007000000}" name="всего3" dataDxfId="516"/>
  </tableColumns>
  <tableStyleInfo name="TableStyleLight15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28000000}" name="Таблица_навык_ШБ" displayName="Таблица_навык_ШБ" ref="Q139:W175" totalsRowShown="0" headerRowDxfId="515" dataDxfId="514" tableBorderDxfId="513">
  <autoFilter ref="Q139:W175" xr:uid="{00000000-0009-0000-0100-000018000000}"/>
  <tableColumns count="7">
    <tableColumn id="1" xr3:uid="{00000000-0010-0000-2800-000001000000}" name="Штурм.броня" dataDxfId="512"/>
    <tableColumn id="2" xr3:uid="{00000000-0010-0000-2800-000002000000}" name="опыт" dataDxfId="511"/>
    <tableColumn id="3" xr3:uid="{00000000-0010-0000-2800-000003000000}" name="всего" dataDxfId="510"/>
    <tableColumn id="4" xr3:uid="{00000000-0010-0000-2800-000004000000}" name="крит уклонение" dataDxfId="509"/>
    <tableColumn id="5" xr3:uid="{00000000-0010-0000-2800-000005000000}" name="всего2" dataDxfId="508"/>
    <tableColumn id="6" xr3:uid="{00000000-0010-0000-2800-000006000000}" name="защита" dataDxfId="507"/>
    <tableColumn id="7" xr3:uid="{00000000-0010-0000-2800-000007000000}" name="всего3" dataDxfId="506"/>
  </tableColumns>
  <tableStyleInfo name="TableStyleLight15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29000000}" name="Таблица_навык_УБ" displayName="Таблица_навык_УБ" ref="Q177:W213" totalsRowShown="0" headerRowDxfId="505" dataDxfId="504" tableBorderDxfId="503">
  <autoFilter ref="Q177:W213" xr:uid="{00000000-0009-0000-0100-000019000000}"/>
  <tableColumns count="7">
    <tableColumn id="1" xr3:uid="{00000000-0010-0000-2900-000001000000}" name="Ударная броня" dataDxfId="502"/>
    <tableColumn id="2" xr3:uid="{00000000-0010-0000-2900-000002000000}" name="опыт" dataDxfId="501"/>
    <tableColumn id="3" xr3:uid="{00000000-0010-0000-2900-000003000000}" name="всего" dataDxfId="500">
      <calculatedColumnFormula>SUM(Таблица_навык_УБ[[#This Row],[всего2]],T177)</calculatedColumnFormula>
    </tableColumn>
    <tableColumn id="4" xr3:uid="{00000000-0010-0000-2900-000004000000}" name="сопр эфф" dataDxfId="499"/>
    <tableColumn id="5" xr3:uid="{00000000-0010-0000-2900-000005000000}" name="всего2" dataDxfId="498"/>
    <tableColumn id="6" xr3:uid="{00000000-0010-0000-2900-000006000000}" name="защита" dataDxfId="497"/>
    <tableColumn id="7" xr3:uid="{00000000-0010-0000-2900-000007000000}" name="всего3" dataDxfId="496"/>
  </tableColumns>
  <tableStyleInfo name="TableStyleLight15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2A000000}" name="Таблица_навык_щиты" displayName="Таблица_навык_щиты" ref="Q215:U241" totalsRowShown="0" headerRowDxfId="495" dataDxfId="494" tableBorderDxfId="493">
  <autoFilter ref="Q215:U241" xr:uid="{00000000-0009-0000-0100-00001A000000}"/>
  <tableColumns count="5">
    <tableColumn id="1" xr3:uid="{00000000-0010-0000-2A00-000001000000}" name="щиты" dataDxfId="492"/>
    <tableColumn id="2" xr3:uid="{00000000-0010-0000-2A00-000002000000}" name="опыт" dataDxfId="491"/>
    <tableColumn id="3" xr3:uid="{00000000-0010-0000-2A00-000003000000}" name="всего" dataDxfId="490"/>
    <tableColumn id="4" xr3:uid="{00000000-0010-0000-2A00-000004000000}" name="броня щита" dataDxfId="489">
      <calculatedColumnFormula>SUM(S216+T215)</calculatedColumnFormula>
    </tableColumn>
    <tableColumn id="5" xr3:uid="{00000000-0010-0000-2A00-000005000000}" name="всего2" dataDxfId="488"/>
  </tableColumns>
  <tableStyleInfo name="TableStyleLight15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2B000000}" name="Таблица_навык_сопрт._эфф." displayName="Таблица_навык_сопрт._эфф." ref="W215:AA246" totalsRowShown="0" headerRowDxfId="487" dataDxfId="486" tableBorderDxfId="485">
  <autoFilter ref="W215:AA246" xr:uid="{00000000-0009-0000-0100-00001B000000}"/>
  <tableColumns count="5">
    <tableColumn id="1" xr3:uid="{00000000-0010-0000-2B00-000001000000}" name="сопр. Эффект." dataDxfId="484"/>
    <tableColumn id="2" xr3:uid="{00000000-0010-0000-2B00-000002000000}" name="опыт " dataDxfId="483"/>
    <tableColumn id="3" xr3:uid="{00000000-0010-0000-2B00-000003000000}" name="всего" dataDxfId="482"/>
    <tableColumn id="4" xr3:uid="{00000000-0010-0000-2B00-000004000000}" name="сопр. Эфф. " dataDxfId="481"/>
    <tableColumn id="5" xr3:uid="{00000000-0010-0000-2B00-000005000000}" name="всего2" dataDxfId="480"/>
  </tableColumns>
  <tableStyleInfo name="TableStyleLight15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2C000000}" name="Таблица_навык_спринтер" displayName="Таблица_навык_спринтер" ref="AE2:AI23" totalsRowShown="0" headerRowDxfId="479" dataDxfId="477" headerRowBorderDxfId="478" tableBorderDxfId="476" totalsRowBorderDxfId="475">
  <autoFilter ref="AE2:AI23" xr:uid="{00000000-0009-0000-0100-00001C000000}"/>
  <tableColumns count="5">
    <tableColumn id="1" xr3:uid="{00000000-0010-0000-2C00-000001000000}" name="спринтер" dataDxfId="474"/>
    <tableColumn id="2" xr3:uid="{00000000-0010-0000-2C00-000002000000}" name="опыт" dataDxfId="473"/>
    <tableColumn id="3" xr3:uid="{00000000-0010-0000-2C00-000003000000}" name="всего" dataDxfId="472"/>
    <tableColumn id="4" xr3:uid="{00000000-0010-0000-2C00-000004000000}" name="ОД" dataDxfId="471">
      <calculatedColumnFormula>SUM(AH2+AG3)</calculatedColumnFormula>
    </tableColumn>
    <tableColumn id="5" xr3:uid="{00000000-0010-0000-2C00-000005000000}" name="всего2" dataDxfId="470"/>
  </tableColumns>
  <tableStyleInfo name="TableStyleLight15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2D000000}" name="Таблица_навык_первая_помощь" displayName="Таблица_навык_первая_помощь" ref="AE25:AI56" totalsRowShown="0" headerRowDxfId="469" dataDxfId="467" headerRowBorderDxfId="468" tableBorderDxfId="466" totalsRowBorderDxfId="465">
  <autoFilter ref="AE25:AI56" xr:uid="{00000000-0009-0000-0100-00001D000000}"/>
  <tableColumns count="5">
    <tableColumn id="1" xr3:uid="{00000000-0010-0000-2D00-000001000000}" name="первая помощь" dataDxfId="464"/>
    <tableColumn id="2" xr3:uid="{00000000-0010-0000-2D00-000002000000}" name="опыт " dataDxfId="463"/>
    <tableColumn id="3" xr3:uid="{00000000-0010-0000-2D00-000003000000}" name="всего" dataDxfId="462"/>
    <tableColumn id="4" xr3:uid="{00000000-0010-0000-2D00-000004000000}" name="эфф. Аптечек" dataDxfId="461"/>
    <tableColumn id="5" xr3:uid="{00000000-0010-0000-2D00-000005000000}" name="всего2" dataDxfId="460"/>
  </tableColumns>
  <tableStyleInfo name="TableStyleLight15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E000000}" name="Таблица_навык_допинг" displayName="Таблица_навык_допинг" ref="AE58:AO89" totalsRowShown="0" headerRowDxfId="459" dataDxfId="458" tableBorderDxfId="457">
  <autoFilter ref="AE58:AO89" xr:uid="{00000000-0009-0000-0100-00001E000000}"/>
  <tableColumns count="11">
    <tableColumn id="1" xr3:uid="{00000000-0010-0000-2E00-000001000000}" name="допинг" dataDxfId="456"/>
    <tableColumn id="2" xr3:uid="{00000000-0010-0000-2E00-000002000000}" name="опыт" dataDxfId="455"/>
    <tableColumn id="3" xr3:uid="{00000000-0010-0000-2E00-000003000000}" name="всего" dataDxfId="454"/>
    <tableColumn id="4" xr3:uid="{00000000-0010-0000-2E00-000004000000}" name="ОД на стим" dataDxfId="453"/>
    <tableColumn id="5" xr3:uid="{00000000-0010-0000-2E00-000005000000}" name="всего2" dataDxfId="452"/>
    <tableColumn id="6" xr3:uid="{00000000-0010-0000-2E00-000006000000}" name="Интоксикация" dataDxfId="451"/>
    <tableColumn id="7" xr3:uid="{00000000-0010-0000-2E00-000007000000}" name="всего3" dataDxfId="450"/>
    <tableColumn id="8" xr3:uid="{00000000-0010-0000-2E00-000008000000}" name="эфф .стим." dataDxfId="449"/>
    <tableColumn id="9" xr3:uid="{00000000-0010-0000-2E00-000009000000}" name="всего4" dataDxfId="448"/>
    <tableColumn id="10" xr3:uid="{00000000-0010-0000-2E00-00000A000000}" name="дительность" dataDxfId="447"/>
    <tableColumn id="11" xr3:uid="{00000000-0010-0000-2E00-00000B000000}" name="всего5" dataDxfId="446"/>
  </tableColumns>
  <tableStyleInfo name="TableStyleLight15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2F000000}" name="Таблица_навык_крепкое_здоровье" displayName="Таблица_навык_крепкое_здоровье" ref="AE91:AI122" totalsRowShown="0" headerRowDxfId="445" dataDxfId="444" tableBorderDxfId="443">
  <autoFilter ref="AE91:AI122" xr:uid="{00000000-0009-0000-0100-00001F000000}"/>
  <tableColumns count="5">
    <tableColumn id="1" xr3:uid="{00000000-0010-0000-2F00-000001000000}" name="Креп.здровье" dataDxfId="442"/>
    <tableColumn id="2" xr3:uid="{00000000-0010-0000-2F00-000002000000}" name="опыт" dataDxfId="441"/>
    <tableColumn id="3" xr3:uid="{00000000-0010-0000-2F00-000003000000}" name="всего" dataDxfId="440"/>
    <tableColumn id="4" xr3:uid="{00000000-0010-0000-2F00-000004000000}" name="здоровье" dataDxfId="439">
      <calculatedColumnFormula>SUM(AH91+AG92)</calculatedColumnFormula>
    </tableColumn>
    <tableColumn id="5" xr3:uid="{00000000-0010-0000-2F00-000005000000}" name="всего2" dataDxfId="438"/>
  </tableColumns>
  <tableStyleInfo name="TableStyleLight15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30000000}" name="Таблица_навык_метаболизм" displayName="Таблица_навык_метаболизм" ref="AE124:AM155" totalsRowShown="0" headerRowDxfId="437" dataDxfId="435" headerRowBorderDxfId="436" tableBorderDxfId="434" totalsRowBorderDxfId="433">
  <autoFilter ref="AE124:AM155" xr:uid="{00000000-0009-0000-0100-000020000000}"/>
  <tableColumns count="9">
    <tableColumn id="1" xr3:uid="{00000000-0010-0000-3000-000001000000}" name="метоболизм" dataDxfId="432"/>
    <tableColumn id="2" xr3:uid="{00000000-0010-0000-3000-000002000000}" name="опыт" dataDxfId="431"/>
    <tableColumn id="3" xr3:uid="{00000000-0010-0000-3000-000003000000}" name="всего" dataDxfId="430"/>
    <tableColumn id="4" xr3:uid="{00000000-0010-0000-3000-000004000000}" name="регенерация" dataDxfId="429"/>
    <tableColumn id="5" xr3:uid="{00000000-0010-0000-3000-000005000000}" name="всего2" dataDxfId="428"/>
    <tableColumn id="6" xr3:uid="{00000000-0010-0000-3000-000006000000}" name="лечение" dataDxfId="427"/>
    <tableColumn id="8" xr3:uid="{00000000-0010-0000-3000-000008000000}" name="всего3" dataDxfId="426"/>
    <tableColumn id="9" xr3:uid="{00000000-0010-0000-3000-000009000000}" name="восст.эффект." dataDxfId="425"/>
    <tableColumn id="7" xr3:uid="{00000000-0010-0000-3000-000007000000}" name="всего4" dataDxfId="424"/>
  </tableColumns>
  <tableStyleInfo name="TableStyleLight15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31000000}" name="Таблица_навык_следопыт" displayName="Таблица_навык_следопыт" ref="AQ2:AV18" totalsRowShown="0" headerRowDxfId="423" dataDxfId="421" headerRowBorderDxfId="422" tableBorderDxfId="420" totalsRowBorderDxfId="419">
  <autoFilter ref="AQ2:AV18" xr:uid="{00000000-0009-0000-0100-000021000000}"/>
  <tableColumns count="6">
    <tableColumn id="1" xr3:uid="{00000000-0010-0000-3100-000001000000}" name="следопыт" dataDxfId="418"/>
    <tableColumn id="2" xr3:uid="{00000000-0010-0000-3100-000002000000}" name="опыт" dataDxfId="417"/>
    <tableColumn id="3" xr3:uid="{00000000-0010-0000-3100-000003000000}" name="всего" dataDxfId="416"/>
    <tableColumn id="4" xr3:uid="{00000000-0010-0000-3100-000004000000}" name="свой уровень" dataDxfId="415"/>
    <tableColumn id="5" xr3:uid="{00000000-0010-0000-3100-000005000000}" name="на 1 уровень" dataDxfId="414"/>
    <tableColumn id="6" xr3:uid="{00000000-0010-0000-3100-000006000000}" name="на 2 уровня" dataDxfId="413"/>
  </tableColumns>
  <tableStyleInfo name="TableStyleLight15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32000000}" name="Таблица_навык_скаут" displayName="Таблица_навык_скаут" ref="AQ20:AU36" totalsRowShown="0" headerRowDxfId="412" dataDxfId="410" headerRowBorderDxfId="411" tableBorderDxfId="409" totalsRowBorderDxfId="408">
  <autoFilter ref="AQ20:AU36" xr:uid="{00000000-0009-0000-0100-000022000000}"/>
  <tableColumns count="5">
    <tableColumn id="1" xr3:uid="{00000000-0010-0000-3200-000001000000}" name="скаут" dataDxfId="407"/>
    <tableColumn id="2" xr3:uid="{00000000-0010-0000-3200-000002000000}" name="опыт" dataDxfId="406"/>
    <tableColumn id="3" xr3:uid="{00000000-0010-0000-3200-000003000000}" name="всего" dataDxfId="405"/>
    <tableColumn id="4" xr3:uid="{00000000-0010-0000-3200-000004000000}" name="скорость по карте" dataDxfId="404">
      <calculatedColumnFormula>SUM(AT20+AS21)</calculatedColumnFormula>
    </tableColumn>
    <tableColumn id="5" xr3:uid="{00000000-0010-0000-3200-000005000000}" name="всего2" dataDxfId="403"/>
  </tableColumns>
  <tableStyleInfo name="TableStyleLight15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33000000}" name="Таблица_навык_потоковая_компрессия" displayName="Таблица_навык_потоковая_компрессия" ref="AQ38:AU54" totalsRowShown="0" headerRowDxfId="402" dataDxfId="400" headerRowBorderDxfId="401" tableBorderDxfId="399" totalsRowBorderDxfId="398">
  <autoFilter ref="AQ38:AU54" xr:uid="{00000000-0009-0000-0100-000023000000}"/>
  <tableColumns count="5">
    <tableColumn id="1" xr3:uid="{00000000-0010-0000-3300-000001000000}" name="поток. Компресс." dataDxfId="397"/>
    <tableColumn id="2" xr3:uid="{00000000-0010-0000-3300-000002000000}" name="опыт" dataDxfId="396"/>
    <tableColumn id="3" xr3:uid="{00000000-0010-0000-3300-000003000000}" name="всего" dataDxfId="395"/>
    <tableColumn id="4" xr3:uid="{00000000-0010-0000-3300-000004000000}" name="время сканирования" dataDxfId="394">
      <calculatedColumnFormula>SUM(AT38+AS39)</calculatedColumnFormula>
    </tableColumn>
    <tableColumn id="5" xr3:uid="{00000000-0010-0000-3300-000005000000}" name="всего2" dataDxfId="393"/>
  </tableColumns>
  <tableStyleInfo name="TableStyleLight15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34000000}" name="Таблица_навык_калибровка" displayName="Таблица_навык_калибровка" ref="AQ56:AW72" totalsRowShown="0" headerRowDxfId="392" dataDxfId="390" headerRowBorderDxfId="391" tableBorderDxfId="389" totalsRowBorderDxfId="388">
  <autoFilter ref="AQ56:AW72" xr:uid="{00000000-0009-0000-0100-000024000000}"/>
  <tableColumns count="7">
    <tableColumn id="1" xr3:uid="{00000000-0010-0000-3400-000001000000}" name="калибровка" dataDxfId="387"/>
    <tableColumn id="2" xr3:uid="{00000000-0010-0000-3400-000002000000}" name="опыт" dataDxfId="386"/>
    <tableColumn id="3" xr3:uid="{00000000-0010-0000-3400-000003000000}" name="всего" dataDxfId="385"/>
    <tableColumn id="4" xr3:uid="{00000000-0010-0000-3400-000004000000}" name="чувствительность" dataDxfId="384"/>
    <tableColumn id="5" xr3:uid="{00000000-0010-0000-3400-000005000000}" name="всего2" dataDxfId="383"/>
    <tableColumn id="6" xr3:uid="{00000000-0010-0000-3400-000006000000}" name="радиус" dataDxfId="382"/>
    <tableColumn id="7" xr3:uid="{00000000-0010-0000-3400-000007000000}" name="всего3" dataDxfId="381"/>
  </tableColumns>
  <tableStyleInfo name="TableStyleLight15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35000000}" name="Таблица_навык_турист" displayName="Таблица_навык_турист" ref="AQ74:AU90" totalsRowShown="0" headerRowDxfId="380" dataDxfId="378" headerRowBorderDxfId="379" tableBorderDxfId="377" totalsRowBorderDxfId="376">
  <autoFilter ref="AQ74:AU90" xr:uid="{00000000-0009-0000-0100-000025000000}"/>
  <tableColumns count="5">
    <tableColumn id="1" xr3:uid="{00000000-0010-0000-3500-000001000000}" name="турист" dataDxfId="375"/>
    <tableColumn id="2" xr3:uid="{00000000-0010-0000-3500-000002000000}" name="опыт " dataDxfId="374"/>
    <tableColumn id="3" xr3:uid="{00000000-0010-0000-3500-000003000000}" name="всего" dataDxfId="373"/>
    <tableColumn id="4" xr3:uid="{00000000-0010-0000-3500-000004000000}" name="грузоподъемность" dataDxfId="372">
      <calculatedColumnFormula>SUM(AT74+AS75)</calculatedColumnFormula>
    </tableColumn>
    <tableColumn id="5" xr3:uid="{00000000-0010-0000-3500-000005000000}" name="всего2" dataDxfId="371"/>
  </tableColumns>
  <tableStyleInfo name="TableStyleLight15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36000000}" name="Таблица_навык_скиталец" displayName="Таблица_навык_скиталец" ref="AQ92:AY108" totalsRowShown="0" headerRowDxfId="370" dataDxfId="368" headerRowBorderDxfId="369" tableBorderDxfId="367" totalsRowBorderDxfId="366">
  <autoFilter ref="AQ92:AY108" xr:uid="{00000000-0009-0000-0100-000026000000}"/>
  <tableColumns count="9">
    <tableColumn id="1" xr3:uid="{00000000-0010-0000-3600-000001000000}" name="скиталец" dataDxfId="365"/>
    <tableColumn id="2" xr3:uid="{00000000-0010-0000-3600-000002000000}" name="опыт" dataDxfId="364"/>
    <tableColumn id="3" xr3:uid="{00000000-0010-0000-3600-000003000000}" name="всего" dataDxfId="363"/>
    <tableColumn id="4" xr3:uid="{00000000-0010-0000-3600-000004000000}" name="найти лут" dataDxfId="362"/>
    <tableColumn id="5" xr3:uid="{00000000-0010-0000-3600-000005000000}" name="всего4" dataDxfId="361"/>
    <tableColumn id="6" xr3:uid="{00000000-0010-0000-3600-000006000000}" name="потеря троф." dataDxfId="360"/>
    <tableColumn id="7" xr3:uid="{00000000-0010-0000-3600-000007000000}" name="всего2" dataDxfId="359"/>
    <tableColumn id="8" xr3:uid="{00000000-0010-0000-3600-000008000000}" name="выйти из боя" dataDxfId="358"/>
    <tableColumn id="9" xr3:uid="{00000000-0010-0000-3600-000009000000}" name="всего3" dataDxfId="357"/>
  </tableColumns>
  <tableStyleInfo name="TableStyleLight15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37000000}" name="Таблица_тренинг_С" displayName="Таблица_тренинг_С" ref="BA2:BE28" totalsRowShown="0" headerRowDxfId="356" dataDxfId="354" headerRowBorderDxfId="355" tableBorderDxfId="353" totalsRowBorderDxfId="352">
  <autoFilter ref="BA2:BE28" xr:uid="{00000000-0009-0000-0100-000028000000}"/>
  <tableColumns count="5">
    <tableColumn id="1" xr3:uid="{00000000-0010-0000-3700-000001000000}" name="Сила" dataDxfId="351"/>
    <tableColumn id="2" xr3:uid="{00000000-0010-0000-3700-000002000000}" name="опыт" dataDxfId="350"/>
    <tableColumn id="3" xr3:uid="{00000000-0010-0000-3700-000003000000}" name="всего" dataDxfId="349">
      <calculatedColumnFormula>Таблица_тренинг_С[[#This Row],[опыт]]+BC2</calculatedColumnFormula>
    </tableColumn>
    <tableColumn id="4" xr3:uid="{00000000-0010-0000-3700-000004000000}" name="сила2" dataDxfId="348"/>
    <tableColumn id="5" xr3:uid="{00000000-0010-0000-3700-000005000000}" name="всего2" dataDxfId="347"/>
  </tableColumns>
  <tableStyleInfo name="TableStyleLight15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38000000}" name="Таблица_тренинг_В" displayName="Таблица_тренинг_В" ref="BA30:BE56" totalsRowShown="0" headerRowDxfId="346" dataDxfId="344" headerRowBorderDxfId="345" tableBorderDxfId="343" totalsRowBorderDxfId="342">
  <autoFilter ref="BA30:BE56" xr:uid="{00000000-0009-0000-0100-000029000000}"/>
  <tableColumns count="5">
    <tableColumn id="1" xr3:uid="{00000000-0010-0000-3800-000001000000}" name="Восприятие" dataDxfId="341"/>
    <tableColumn id="2" xr3:uid="{00000000-0010-0000-3800-000002000000}" name="опыт" dataDxfId="340"/>
    <tableColumn id="3" xr3:uid="{00000000-0010-0000-3800-000003000000}" name="всего" dataDxfId="339"/>
    <tableColumn id="4" xr3:uid="{00000000-0010-0000-3800-000004000000}" name="всприятие" dataDxfId="338"/>
    <tableColumn id="5" xr3:uid="{00000000-0010-0000-3800-000005000000}" name="всего2" dataDxfId="337"/>
  </tableColumns>
  <tableStyleInfo name="TableStyleLight15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39000000}" name="Таблица_тренинг_Л" displayName="Таблица_тренинг_Л" ref="BA58:BE84" totalsRowShown="0" headerRowDxfId="336" dataDxfId="334" headerRowBorderDxfId="335" tableBorderDxfId="333" totalsRowBorderDxfId="332">
  <autoFilter ref="BA58:BE84" xr:uid="{00000000-0009-0000-0100-00002A000000}"/>
  <tableColumns count="5">
    <tableColumn id="1" xr3:uid="{00000000-0010-0000-3900-000001000000}" name="Ловкость" dataDxfId="331"/>
    <tableColumn id="2" xr3:uid="{00000000-0010-0000-3900-000002000000}" name="опыт" dataDxfId="330"/>
    <tableColumn id="3" xr3:uid="{00000000-0010-0000-3900-000003000000}" name="всего " dataDxfId="329"/>
    <tableColumn id="4" xr3:uid="{00000000-0010-0000-3900-000004000000}" name="ловкость2" dataDxfId="328">
      <calculatedColumnFormula>SUM(BD58+BC59)</calculatedColumnFormula>
    </tableColumn>
    <tableColumn id="5" xr3:uid="{00000000-0010-0000-3900-000005000000}" name="всего" dataDxfId="327"/>
  </tableColumns>
  <tableStyleInfo name="TableStyleLight15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3A000000}" name="Таблица_тренинг_И" displayName="Таблица_тренинг_И" ref="BA86:BE112" totalsRowShown="0" headerRowDxfId="326" dataDxfId="324" headerRowBorderDxfId="325" tableBorderDxfId="323" totalsRowBorderDxfId="322">
  <autoFilter ref="BA86:BE112" xr:uid="{00000000-0009-0000-0100-00002B000000}"/>
  <tableColumns count="5">
    <tableColumn id="1" xr3:uid="{00000000-0010-0000-3A00-000001000000}" name="Интелект" dataDxfId="321"/>
    <tableColumn id="2" xr3:uid="{00000000-0010-0000-3A00-000002000000}" name="опыт" dataDxfId="320"/>
    <tableColumn id="3" xr3:uid="{00000000-0010-0000-3A00-000003000000}" name="всего" dataDxfId="319"/>
    <tableColumn id="4" xr3:uid="{00000000-0010-0000-3A00-000004000000}" name="интелект2" dataDxfId="318">
      <calculatedColumnFormula>SUM(BD86+BC87)</calculatedColumnFormula>
    </tableColumn>
    <tableColumn id="5" xr3:uid="{00000000-0010-0000-3A00-000005000000}" name="всего2" dataDxfId="317"/>
  </tableColumns>
  <tableStyleInfo name="TableStyleLight15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3B000000}" name="Таблица_тренинг_Т" displayName="Таблица_тренинг_Т" ref="BA114:BE140" totalsRowShown="0" headerRowDxfId="316" dataDxfId="315">
  <autoFilter ref="BA114:BE140" xr:uid="{00000000-0009-0000-0100-00002C000000}"/>
  <tableColumns count="5">
    <tableColumn id="1" xr3:uid="{00000000-0010-0000-3B00-000001000000}" name="Телосложение" dataDxfId="314"/>
    <tableColumn id="2" xr3:uid="{00000000-0010-0000-3B00-000002000000}" name="опыт" dataDxfId="313"/>
    <tableColumn id="3" xr3:uid="{00000000-0010-0000-3B00-000003000000}" name="всего" dataDxfId="312"/>
    <tableColumn id="4" xr3:uid="{00000000-0010-0000-3B00-000004000000}" name="телосложение2" dataDxfId="311"/>
    <tableColumn id="5" xr3:uid="{00000000-0010-0000-3B00-000005000000}" name="всего2" dataDxfId="310"/>
  </tableColumns>
  <tableStyleInfo name="TableStyleLight15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3C000000}" name="Таблица_тренинг_СВ" displayName="Таблица_тренинг_СВ" ref="BA142:BE168" totalsRowShown="0" headerRowDxfId="309" dataDxfId="308">
  <autoFilter ref="BA142:BE168" xr:uid="{00000000-0009-0000-0100-00002D000000}"/>
  <tableColumns count="5">
    <tableColumn id="1" xr3:uid="{00000000-0010-0000-3C00-000001000000}" name="Сила воли" dataDxfId="307"/>
    <tableColumn id="2" xr3:uid="{00000000-0010-0000-3C00-000002000000}" name="опыт" dataDxfId="306"/>
    <tableColumn id="3" xr3:uid="{00000000-0010-0000-3C00-000003000000}" name="всего" dataDxfId="305"/>
    <tableColumn id="4" xr3:uid="{00000000-0010-0000-3C00-000004000000}" name="сила воли2" dataDxfId="304">
      <calculatedColumnFormula>SUM(BD142+BC143)</calculatedColumnFormula>
    </tableColumn>
    <tableColumn id="5" xr3:uid="{00000000-0010-0000-3C00-000005000000}" name="всего2" dataDxfId="303"/>
  </tableColumns>
  <tableStyleInfo name="TableStyleLight15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3D000000}" name="Таблица_навык_переработка" displayName="Таблица_навык_переработка" ref="BG2:BK13" totalsRowShown="0" headerRowDxfId="302" dataDxfId="301" tableBorderDxfId="300">
  <autoFilter ref="BG2:BK13" xr:uid="{00000000-0009-0000-0100-00002E000000}"/>
  <tableColumns count="5">
    <tableColumn id="1" xr3:uid="{00000000-0010-0000-3D00-000001000000}" name="Переработка" dataDxfId="299"/>
    <tableColumn id="2" xr3:uid="{00000000-0010-0000-3D00-000002000000}" name="опыт" dataDxfId="298"/>
    <tableColumn id="3" xr3:uid="{00000000-0010-0000-3D00-000003000000}" name="всего" dataDxfId="297"/>
    <tableColumn id="4" xr3:uid="{00000000-0010-0000-3D00-000004000000}" name="эфф. Переработки" dataDxfId="296">
      <calculatedColumnFormula>SUM(BJ2+BI3)</calculatedColumnFormula>
    </tableColumn>
    <tableColumn id="5" xr3:uid="{00000000-0010-0000-3D00-000005000000}" name="всего2" dataDxfId="295">
      <calculatedColumnFormula>Таблица_навык_переработка[[#This Row],[эфф. Переработки]]+BK2</calculatedColumnFormula>
    </tableColumn>
  </tableColumns>
  <tableStyleInfo name="TableStyleLight15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3E000000}" name="Таблица_навык_эфф._производства" displayName="Таблица_навык_эфф._производства" ref="BG15:BK26" totalsRowShown="0" headerRowDxfId="294" dataDxfId="292" headerRowBorderDxfId="293" tableBorderDxfId="291" totalsRowBorderDxfId="290">
  <autoFilter ref="BG15:BK26" xr:uid="{00000000-0009-0000-0100-00002F000000}"/>
  <tableColumns count="5">
    <tableColumn id="1" xr3:uid="{00000000-0010-0000-3E00-000001000000}" name="Эфф.производства" dataDxfId="289"/>
    <tableColumn id="2" xr3:uid="{00000000-0010-0000-3E00-000002000000}" name="опыт" dataDxfId="288"/>
    <tableColumn id="3" xr3:uid="{00000000-0010-0000-3E00-000003000000}" name="всего" dataDxfId="287"/>
    <tableColumn id="4" xr3:uid="{00000000-0010-0000-3E00-000004000000}" name="перерас. Комп." dataDxfId="286"/>
    <tableColumn id="5" xr3:uid="{00000000-0010-0000-3E00-000005000000}" name="всего2" dataDxfId="285"/>
  </tableColumns>
  <tableStyleInfo name="TableStyleLight15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3F000000}" name="Таблица_навык_интендант" displayName="Таблица_навык_интендант" ref="BG28:BK44" totalsRowShown="0" headerRowDxfId="284" dataDxfId="283">
  <autoFilter ref="BG28:BK44" xr:uid="{00000000-0009-0000-0100-000030000000}"/>
  <tableColumns count="5">
    <tableColumn id="1" xr3:uid="{00000000-0010-0000-3F00-000001000000}" name="Интендант" dataDxfId="282"/>
    <tableColumn id="2" xr3:uid="{00000000-0010-0000-3F00-000002000000}" name="опыт" dataDxfId="281"/>
    <tableColumn id="3" xr3:uid="{00000000-0010-0000-3F00-000003000000}" name="всего" dataDxfId="280"/>
    <tableColumn id="4" xr3:uid="{00000000-0010-0000-3F00-000004000000}" name="объем хранилища2" dataDxfId="279">
      <calculatedColumnFormula>SUM(BJ29+BJ30)</calculatedColumnFormula>
    </tableColumn>
    <tableColumn id="5" xr3:uid="{00000000-0010-0000-3F00-000005000000}" name="всего2" dataDxfId="278">
      <calculatedColumnFormula>Таблица_навык_интендант[[#This Row],[объем хранилища2]]+BK28</calculatedColumnFormula>
    </tableColumn>
  </tableColumns>
  <tableStyleInfo name="TableStyleLight15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40000000}" name="Таблица_навык_торговец" displayName="Таблица_навык_торговец" ref="BG46:BK62" totalsRowShown="0" headerRowDxfId="277" dataDxfId="276">
  <autoFilter ref="BG46:BK62" xr:uid="{00000000-0009-0000-0100-000031000000}"/>
  <tableColumns count="5">
    <tableColumn id="1" xr3:uid="{00000000-0010-0000-4000-000001000000}" name="торговец" dataDxfId="275"/>
    <tableColumn id="2" xr3:uid="{00000000-0010-0000-4000-000002000000}" name="опыт" dataDxfId="274"/>
    <tableColumn id="3" xr3:uid="{00000000-0010-0000-4000-000003000000}" name="всего" dataDxfId="273">
      <calculatedColumnFormula>Таблица_навык_торговец[[#This Row],[опыт]]+BI46</calculatedColumnFormula>
    </tableColumn>
    <tableColumn id="4" xr3:uid="{00000000-0010-0000-4000-000004000000}" name="кол-во контрактов" dataDxfId="272"/>
    <tableColumn id="5" xr3:uid="{00000000-0010-0000-4000-000005000000}" name="всего2" dataDxfId="271">
      <calculatedColumnFormula>Таблица_навык_торговец[[#This Row],[кол-во контрактов]]+BK46</calculatedColumnFormula>
    </tableColumn>
  </tableColumns>
  <tableStyleInfo name="TableStyleLight15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41000000}" name="Таблица_навык_производство" displayName="Таблица_навык_производство" ref="BG64:BK85" totalsRowShown="0" headerRowDxfId="270" dataDxfId="268" headerRowBorderDxfId="269" tableBorderDxfId="267" totalsRowBorderDxfId="266">
  <autoFilter ref="BG64:BK85" xr:uid="{00000000-0009-0000-0100-000032000000}"/>
  <tableColumns count="5">
    <tableColumn id="1" xr3:uid="{00000000-0010-0000-4100-000001000000}" name="Производство" dataDxfId="265"/>
    <tableColumn id="2" xr3:uid="{00000000-0010-0000-4100-000002000000}" name="опыт" dataDxfId="264"/>
    <tableColumn id="3" xr3:uid="{00000000-0010-0000-4100-000003000000}" name="всего" dataDxfId="263">
      <calculatedColumnFormula>Таблица_навык_производство[[#This Row],[опыт]]+BI64</calculatedColumnFormula>
    </tableColumn>
    <tableColumn id="4" xr3:uid="{00000000-0010-0000-4100-000004000000}" name="скорость производства" dataDxfId="262"/>
    <tableColumn id="5" xr3:uid="{00000000-0010-0000-4100-000005000000}" name="всего2" dataDxfId="261">
      <calculatedColumnFormula>Таблица_навык_производство[[#This Row],[скорость производства]]+BK64</calculatedColumnFormula>
    </tableColumn>
  </tableColumns>
  <tableStyleInfo name="TableStyleLight15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42000000}" name="Таблица_навык_стрелок" displayName="Таблица_навык_стрелок" ref="BM2:BY28" totalsRowShown="0" headerRowDxfId="260" dataDxfId="258" headerRowBorderDxfId="259" tableBorderDxfId="257" totalsRowBorderDxfId="256">
  <autoFilter ref="BM2:BY28" xr:uid="{00000000-0009-0000-0100-000033000000}"/>
  <tableColumns count="13">
    <tableColumn id="1" xr3:uid="{00000000-0010-0000-4200-000001000000}" name="стрелок" dataDxfId="255"/>
    <tableColumn id="2" xr3:uid="{00000000-0010-0000-4200-000002000000}" name="опыт" dataDxfId="254"/>
    <tableColumn id="3" xr3:uid="{00000000-0010-0000-4200-000003000000}" name="всего" dataDxfId="253"/>
    <tableColumn id="4" xr3:uid="{00000000-0010-0000-4200-000004000000}" name="точность" dataDxfId="252">
      <calculatedColumnFormula>#REF!</calculatedColumnFormula>
    </tableColumn>
    <tableColumn id="5" xr3:uid="{00000000-0010-0000-4200-000005000000}" name="всего2" dataDxfId="251">
      <calculatedColumnFormula>Таблица_навык_стрелок[[#This Row],[точность]]+BQ2</calculatedColumnFormula>
    </tableColumn>
    <tableColumn id="6" xr3:uid="{00000000-0010-0000-4200-000006000000}" name="крит. Урон" dataDxfId="250"/>
    <tableColumn id="7" xr3:uid="{00000000-0010-0000-4200-000007000000}" name="всего3" dataDxfId="249">
      <calculatedColumnFormula>Таблица_навык_стрелок[[#This Row],[крит. Урон]]+BS2</calculatedColumnFormula>
    </tableColumn>
    <tableColumn id="8" xr3:uid="{00000000-0010-0000-4200-000008000000}" name="крит. Поп" dataDxfId="248"/>
    <tableColumn id="9" xr3:uid="{00000000-0010-0000-4200-000009000000}" name="всего4" dataDxfId="247">
      <calculatedColumnFormula>Таблица_навык_стрелок[[#This Row],[крит. Поп]]+BU2</calculatedColumnFormula>
    </tableColumn>
    <tableColumn id="10" xr3:uid="{00000000-0010-0000-4200-00000A000000}" name="дальность" dataDxfId="246"/>
    <tableColumn id="11" xr3:uid="{00000000-0010-0000-4200-00000B000000}" name="всего6" dataDxfId="245">
      <calculatedColumnFormula>Таблица_навык_стрелок[[#This Row],[дальность]]+BW2</calculatedColumnFormula>
    </tableColumn>
    <tableColumn id="12" xr3:uid="{00000000-0010-0000-4200-00000C000000}" name="урон" dataDxfId="244"/>
    <tableColumn id="13" xr3:uid="{00000000-0010-0000-4200-00000D000000}" name="всего8" dataDxfId="243">
      <calculatedColumnFormula>Таблица_навык_стрелок[[#This Row],[урон]]+BY2</calculatedColumnFormula>
    </tableColumn>
  </tableColumns>
  <tableStyleInfo name="TableStyleLight15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43000000}" name="Таблица_навык_защитник" displayName="Таблица_навык_защитник" ref="BM30:BY56" totalsRowShown="0" headerRowDxfId="242" dataDxfId="241" tableBorderDxfId="240">
  <autoFilter ref="BM30:BY56" xr:uid="{00000000-0009-0000-0100-000034000000}"/>
  <tableColumns count="13">
    <tableColumn id="1" xr3:uid="{00000000-0010-0000-4300-000001000000}" name="защитник" dataDxfId="239"/>
    <tableColumn id="2" xr3:uid="{00000000-0010-0000-4300-000002000000}" name="опыт" dataDxfId="238"/>
    <tableColumn id="3" xr3:uid="{00000000-0010-0000-4300-000003000000}" name="всего" dataDxfId="237"/>
    <tableColumn id="4" xr3:uid="{00000000-0010-0000-4300-000004000000}" name="сопр. Эфф" dataDxfId="236"/>
    <tableColumn id="5" xr3:uid="{00000000-0010-0000-4300-000005000000}" name="всего2" dataDxfId="235">
      <calculatedColumnFormula>Таблица_навык_защитник[[#This Row],[сопр. Эфф]]+BQ30</calculatedColumnFormula>
    </tableColumn>
    <tableColumn id="6" xr3:uid="{00000000-0010-0000-4300-000006000000}" name="крит. Защ" dataDxfId="234">
      <calculatedColumnFormula>SUM(Таблица_навык_защитник[[#This Row],[всего2]],BR30)</calculatedColumnFormula>
    </tableColumn>
    <tableColumn id="7" xr3:uid="{00000000-0010-0000-4300-000007000000}" name="всего3" dataDxfId="233"/>
    <tableColumn id="8" xr3:uid="{00000000-0010-0000-4300-000008000000}" name="крит. Уклонение" dataDxfId="232"/>
    <tableColumn id="9" xr3:uid="{00000000-0010-0000-4300-000009000000}" name="всего4" dataDxfId="231"/>
    <tableColumn id="10" xr3:uid="{00000000-0010-0000-4300-00000A000000}" name="маскировка" dataDxfId="230"/>
    <tableColumn id="11" xr3:uid="{00000000-0010-0000-4300-00000B000000}" name="всего5" dataDxfId="229">
      <calculatedColumnFormula>Таблица_навык_защитник[[#This Row],[маскировка]]+BW30</calculatedColumnFormula>
    </tableColumn>
    <tableColumn id="12" xr3:uid="{00000000-0010-0000-4300-00000C000000}" name="защита" dataDxfId="228"/>
    <tableColumn id="13" xr3:uid="{00000000-0010-0000-4300-00000D000000}" name="всего6" dataDxfId="227"/>
  </tableColumns>
  <tableStyleInfo name="TableStyleLight15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44000000}" name="Таблица_навык_охотник" displayName="Таблица_навык_охотник" ref="BM58:BY84" totalsRowShown="0" headerRowDxfId="226" dataDxfId="224" headerRowBorderDxfId="225" tableBorderDxfId="223" totalsRowBorderDxfId="222">
  <autoFilter ref="BM58:BY84" xr:uid="{00000000-0009-0000-0100-000035000000}"/>
  <tableColumns count="13">
    <tableColumn id="1" xr3:uid="{00000000-0010-0000-4400-000001000000}" name="охотник" dataDxfId="221"/>
    <tableColumn id="2" xr3:uid="{00000000-0010-0000-4400-000002000000}" name="опыт" dataDxfId="220"/>
    <tableColumn id="3" xr3:uid="{00000000-0010-0000-4400-000003000000}" name="всего" dataDxfId="219">
      <calculatedColumnFormula>Таблица_навык_охотник[[#This Row],[опыт]]+BO58</calculatedColumnFormula>
    </tableColumn>
    <tableColumn id="4" xr3:uid="{00000000-0010-0000-4400-000004000000}" name="скорость" dataDxfId="218"/>
    <tableColumn id="5" xr3:uid="{00000000-0010-0000-4400-000005000000}" name="всего2" dataDxfId="217">
      <calculatedColumnFormula>Таблица_навык_охотник[[#This Row],[скорость]]+BQ58</calculatedColumnFormula>
    </tableColumn>
    <tableColumn id="6" xr3:uid="{00000000-0010-0000-4400-000006000000}" name="эфф.апт" dataDxfId="216">
      <calculatedColumnFormula>SUM(Таблица_навык_охотник[[#This Row],[всего2]],BR58)</calculatedColumnFormula>
    </tableColumn>
    <tableColumn id="7" xr3:uid="{00000000-0010-0000-4400-000007000000}" name="всего3" dataDxfId="215">
      <calculatedColumnFormula>Таблица_навык_охотник[[#This Row],[эфф.апт]]+BS58</calculatedColumnFormula>
    </tableColumn>
    <tableColumn id="8" xr3:uid="{00000000-0010-0000-4400-000008000000}" name="крит.поп. Монстры" dataDxfId="214"/>
    <tableColumn id="9" xr3:uid="{00000000-0010-0000-4400-000009000000}" name="всего4" dataDxfId="213">
      <calculatedColumnFormula>Таблица_навык_охотник[[#This Row],[крит.поп. Монстры]]+BU58</calculatedColumnFormula>
    </tableColumn>
    <tableColumn id="10" xr3:uid="{00000000-0010-0000-4400-00000A000000}" name="крит.урон по монстрам" dataDxfId="212"/>
    <tableColumn id="11" xr3:uid="{00000000-0010-0000-4400-00000B000000}" name="всего5" dataDxfId="211">
      <calculatedColumnFormula>Таблица_навык_охотник[[#This Row],[крит.урон по монстрам]]+BW58</calculatedColumnFormula>
    </tableColumn>
    <tableColumn id="12" xr3:uid="{00000000-0010-0000-4400-00000C000000}" name="урон по монстрам" dataDxfId="210"/>
    <tableColumn id="13" xr3:uid="{00000000-0010-0000-4400-00000D000000}" name="всего6" dataDxfId="209">
      <calculatedColumnFormula>Таблица_навык_охотник[[#This Row],[урон по монстрам]]+BY58</calculatedColumnFormula>
    </tableColumn>
  </tableColumns>
  <tableStyleInfo name="TableStyleLight15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45000000}" name="Таблица_навык_ксенофизиология" displayName="Таблица_навык_ксенофизиология" ref="AQ110:AY141" totalsRowShown="0" headerRowDxfId="208" dataDxfId="206" headerRowBorderDxfId="207" tableBorderDxfId="205" totalsRowBorderDxfId="204">
  <autoFilter ref="AQ110:AY141" xr:uid="{00000000-0009-0000-0100-000027000000}"/>
  <tableColumns count="9">
    <tableColumn id="1" xr3:uid="{00000000-0010-0000-4500-000001000000}" name="ксенофизиология" dataDxfId="203"/>
    <tableColumn id="2" xr3:uid="{00000000-0010-0000-4500-000002000000}" name="опыт" dataDxfId="202"/>
    <tableColumn id="3" xr3:uid="{00000000-0010-0000-4500-000003000000}" name="всего" dataDxfId="201">
      <calculatedColumnFormula>Таблица_навык_ксенофизиология[[#This Row],[опыт]]+AS110</calculatedColumnFormula>
    </tableColumn>
    <tableColumn id="4" xr3:uid="{00000000-0010-0000-4500-000004000000}" name="крит. Попад." dataDxfId="200"/>
    <tableColumn id="5" xr3:uid="{00000000-0010-0000-4500-000005000000}" name="всего " dataDxfId="199"/>
    <tableColumn id="6" xr3:uid="{00000000-0010-0000-4500-000006000000}" name="крит. Урон" dataDxfId="198"/>
    <tableColumn id="7" xr3:uid="{00000000-0010-0000-4500-000007000000}" name="всего 2" dataDxfId="197"/>
    <tableColumn id="8" xr3:uid="{00000000-0010-0000-4500-000008000000}" name="урон" dataDxfId="196"/>
    <tableColumn id="9" xr3:uid="{00000000-0010-0000-4500-000009000000}" name="всего2" dataDxfId="195"/>
  </tableColumns>
  <tableStyleInfo name="TableStyleLight15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46000000}" name="Таблица_моды_шлемы" displayName="Таблица_моды_шлемы" ref="A1:N29" totalsRowShown="0" headerRowDxfId="194" dataDxfId="192" headerRowBorderDxfId="193" tableBorderDxfId="191" totalsRowBorderDxfId="190">
  <autoFilter ref="A1:N29" xr:uid="{00000000-0009-0000-0100-000001000000}"/>
  <tableColumns count="14">
    <tableColumn id="2" xr3:uid="{00000000-0010-0000-4600-000002000000}" name="название" dataDxfId="189"/>
    <tableColumn id="3" xr3:uid="{00000000-0010-0000-4600-000003000000}" name="защита1" dataDxfId="188"/>
    <tableColumn id="4" xr3:uid="{00000000-0010-0000-4600-000004000000}" name="защита2" dataDxfId="187"/>
    <tableColumn id="5" xr3:uid="{00000000-0010-0000-4600-000005000000}" name="маскировка1" dataDxfId="186"/>
    <tableColumn id="6" xr3:uid="{00000000-0010-0000-4600-000006000000}" name="маскирвка2" dataDxfId="185"/>
    <tableColumn id="7" xr3:uid="{00000000-0010-0000-4600-000007000000}" name="конт" dataDxfId="184"/>
    <tableColumn id="8" xr3:uid="{00000000-0010-0000-4600-000008000000}" name="отр" dataDxfId="183"/>
    <tableColumn id="9" xr3:uid="{00000000-0010-0000-4600-000009000000}" name="шок" dataDxfId="182"/>
    <tableColumn id="11" xr3:uid="{00000000-0010-0000-4600-00000B000000}" name="крит уклон" dataDxfId="181"/>
    <tableColumn id="12" xr3:uid="{00000000-0010-0000-4600-00000C000000}" name="крит уклон2" dataDxfId="180"/>
    <tableColumn id="14" xr3:uid="{00000000-0010-0000-4600-00000E000000}" name="крит защ" dataDxfId="179"/>
    <tableColumn id="1" xr3:uid="{00000000-0010-0000-4600-000001000000}" name="сниж урон" dataDxfId="178"/>
    <tableColumn id="10" xr3:uid="{00000000-0010-0000-4600-00000A000000}" name="эфф апт" dataDxfId="177"/>
    <tableColumn id="13" xr3:uid="{00000000-0010-0000-4600-00000D000000}" name="здоровье" dataDxfId="176"/>
  </tableColumns>
  <tableStyleInfo name="TableStyleLight1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47000000}" name="Таблица_моды_куртки" displayName="Таблица_моды_куртки" ref="A31:N59" totalsRowShown="0" headerRowDxfId="175" dataDxfId="173" headerRowBorderDxfId="174" tableBorderDxfId="172">
  <autoFilter ref="A31:N59" xr:uid="{00000000-0009-0000-0100-000002000000}"/>
  <tableColumns count="14">
    <tableColumn id="2" xr3:uid="{00000000-0010-0000-4700-000002000000}" name="название" dataDxfId="171"/>
    <tableColumn id="3" xr3:uid="{00000000-0010-0000-4700-000003000000}" name="защита1" dataDxfId="170"/>
    <tableColumn id="17" xr3:uid="{00000000-0010-0000-4700-000011000000}" name="защита2" dataDxfId="169"/>
    <tableColumn id="4" xr3:uid="{00000000-0010-0000-4700-000004000000}" name="маскировка1" dataDxfId="168"/>
    <tableColumn id="16" xr3:uid="{00000000-0010-0000-4700-000010000000}" name="маскирвка2" dataDxfId="167"/>
    <tableColumn id="5" xr3:uid="{00000000-0010-0000-4700-000005000000}" name="конт" dataDxfId="166"/>
    <tableColumn id="6" xr3:uid="{00000000-0010-0000-4700-000006000000}" name="отр" dataDxfId="165"/>
    <tableColumn id="7" xr3:uid="{00000000-0010-0000-4700-000007000000}" name="шок" dataDxfId="164"/>
    <tableColumn id="8" xr3:uid="{00000000-0010-0000-4700-000008000000}" name="крит уклон" dataDxfId="163"/>
    <tableColumn id="9" xr3:uid="{00000000-0010-0000-4700-000009000000}" name="крит уклон2" dataDxfId="162"/>
    <tableColumn id="10" xr3:uid="{00000000-0010-0000-4700-00000A000000}" name="крит защ" dataDxfId="161"/>
    <tableColumn id="1" xr3:uid="{00000000-0010-0000-4700-000001000000}" name="сниж урон" dataDxfId="160"/>
    <tableColumn id="11" xr3:uid="{00000000-0010-0000-4700-00000B000000}" name="эфф апт" dataDxfId="159"/>
    <tableColumn id="12" xr3:uid="{00000000-0010-0000-4700-00000C000000}" name="здоровье" dataDxfId="158"/>
  </tableColumns>
  <tableStyleInfo name="TableStyleLight1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48000000}" name="Таблица_моды_брюки" displayName="Таблица_моды_брюки" ref="A61:N89" totalsRowShown="0" headerRowDxfId="157" dataDxfId="156" tableBorderDxfId="155">
  <autoFilter ref="A61:N89" xr:uid="{00000000-0009-0000-0100-000003000000}"/>
  <tableColumns count="14">
    <tableColumn id="2" xr3:uid="{00000000-0010-0000-4800-000002000000}" name="название" dataDxfId="154"/>
    <tableColumn id="3" xr3:uid="{00000000-0010-0000-4800-000003000000}" name="защита1" dataDxfId="153"/>
    <tableColumn id="16" xr3:uid="{00000000-0010-0000-4800-000010000000}" name="защита2" dataDxfId="152"/>
    <tableColumn id="4" xr3:uid="{00000000-0010-0000-4800-000004000000}" name="маскировка1" dataDxfId="151"/>
    <tableColumn id="15" xr3:uid="{00000000-0010-0000-4800-00000F000000}" name="маскирвка2" dataDxfId="150"/>
    <tableColumn id="5" xr3:uid="{00000000-0010-0000-4800-000005000000}" name="конт" dataDxfId="149"/>
    <tableColumn id="6" xr3:uid="{00000000-0010-0000-4800-000006000000}" name="отр" dataDxfId="148"/>
    <tableColumn id="7" xr3:uid="{00000000-0010-0000-4800-000007000000}" name="шок" dataDxfId="147"/>
    <tableColumn id="8" xr3:uid="{00000000-0010-0000-4800-000008000000}" name="крит уклон" dataDxfId="146"/>
    <tableColumn id="9" xr3:uid="{00000000-0010-0000-4800-000009000000}" name="крит уклон2" dataDxfId="145"/>
    <tableColumn id="10" xr3:uid="{00000000-0010-0000-4800-00000A000000}" name="крит защ" dataDxfId="144"/>
    <tableColumn id="1" xr3:uid="{00000000-0010-0000-4800-000001000000}" name="сниж урон" dataDxfId="143"/>
    <tableColumn id="11" xr3:uid="{00000000-0010-0000-4800-00000B000000}" name="эфф апт" dataDxfId="142"/>
    <tableColumn id="12" xr3:uid="{00000000-0010-0000-4800-00000C000000}" name="здоровье" dataDxfId="141"/>
  </tableColumns>
  <tableStyleInfo name="TableStyleLight1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00000000-000C-0000-FFFF-FFFF49000000}" name="Таблица_моды_оружие" displayName="Таблица_моды_оружие" ref="P1:Z111" totalsRowShown="0" headerRowDxfId="140" dataDxfId="138" headerRowBorderDxfId="139" tableBorderDxfId="137" totalsRowBorderDxfId="136">
  <autoFilter ref="P1:Z111" xr:uid="{00000000-0009-0000-0100-000052000000}"/>
  <tableColumns count="11">
    <tableColumn id="1" xr3:uid="{00000000-0010-0000-4900-000001000000}" name="название" dataDxfId="135"/>
    <tableColumn id="2" xr3:uid="{00000000-0010-0000-4900-000002000000}" name="урон" dataDxfId="134"/>
    <tableColumn id="3" xr3:uid="{00000000-0010-0000-4900-000003000000}" name="урон2" dataDxfId="133"/>
    <tableColumn id="4" xr3:uid="{00000000-0010-0000-4900-000004000000}" name="крит попадание" dataDxfId="132"/>
    <tableColumn id="5" xr3:uid="{00000000-0010-0000-4900-000005000000}" name="крит попадание3" dataDxfId="131"/>
    <tableColumn id="6" xr3:uid="{00000000-0010-0000-4900-000006000000}" name="крит урон" dataDxfId="130"/>
    <tableColumn id="8" xr3:uid="{00000000-0010-0000-4900-000008000000}" name="точность" dataDxfId="129"/>
    <tableColumn id="9" xr3:uid="{00000000-0010-0000-4900-000009000000}" name="точность2" dataDxfId="128"/>
    <tableColumn id="10" xr3:uid="{00000000-0010-0000-4900-00000A000000}" name="дальность " dataDxfId="127"/>
    <tableColumn id="11" xr3:uid="{00000000-0010-0000-4900-00000B000000}" name="дальность" dataDxfId="126"/>
    <tableColumn id="13" xr3:uid="{00000000-0010-0000-4900-00000D000000}" name="эфф. Боеприпасов" dataDxfId="125"/>
  </tableColumns>
  <tableStyleInfo name="TableStyleLight1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0000000-000C-0000-FFFF-FFFF4A000000}" name="Таблица_моды_щиты" displayName="Таблица_моды_щиты" ref="A91:K98" totalsRowShown="0" headerRowDxfId="124" dataDxfId="122" headerRowBorderDxfId="123" tableBorderDxfId="121" totalsRowBorderDxfId="120">
  <autoFilter ref="A91:K98" xr:uid="{00000000-0009-0000-0100-000056000000}"/>
  <tableColumns count="11">
    <tableColumn id="1" xr3:uid="{00000000-0010-0000-4A00-000001000000}" name="название" dataDxfId="119"/>
    <tableColumn id="2" xr3:uid="{00000000-0010-0000-4A00-000002000000}" name="защита" dataDxfId="118"/>
    <tableColumn id="3" xr3:uid="{00000000-0010-0000-4A00-000003000000}" name="защита3" dataDxfId="117"/>
    <tableColumn id="4" xr3:uid="{00000000-0010-0000-4A00-000004000000}" name="контузия" dataDxfId="116"/>
    <tableColumn id="5" xr3:uid="{00000000-0010-0000-4A00-000005000000}" name="отравление" dataDxfId="115"/>
    <tableColumn id="6" xr3:uid="{00000000-0010-0000-4A00-000006000000}" name="шок" dataDxfId="114"/>
    <tableColumn id="7" xr3:uid="{00000000-0010-0000-4A00-000007000000}" name="крит. Уклонение" dataDxfId="113"/>
    <tableColumn id="8" xr3:uid="{00000000-0010-0000-4A00-000008000000}" name="рикошет" dataDxfId="112"/>
    <tableColumn id="9" xr3:uid="{00000000-0010-0000-4A00-000009000000}" name="крит щащита" dataDxfId="111"/>
    <tableColumn id="10" xr3:uid="{00000000-0010-0000-4A00-00000A000000}" name="снижение урона" dataDxfId="110"/>
    <tableColumn id="11" xr3:uid="{00000000-0010-0000-4A00-00000B000000}" name="снижение урона4" dataDxfId="109"/>
  </tableColumns>
  <tableStyleInfo name="TableStyleLight8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4B000000}" name="Таблица_стимуляторы_спецтальные" displayName="Таблица_стимуляторы_спецтальные" ref="A1:N6" totalsRowShown="0" headerRowDxfId="94" headerRowBorderDxfId="93" tableBorderDxfId="92" totalsRowBorderDxfId="91">
  <autoFilter ref="A1:N6" xr:uid="{00000000-0009-0000-0100-000036000000}"/>
  <tableColumns count="14">
    <tableColumn id="1" xr3:uid="{00000000-0010-0000-4B00-000001000000}" name="Название" dataDxfId="90"/>
    <tableColumn id="2" xr3:uid="{00000000-0010-0000-4B00-000002000000}" name="Столбец2" dataDxfId="89"/>
    <tableColumn id="3" xr3:uid="{00000000-0010-0000-4B00-000003000000}" name="Столбец3" dataDxfId="88"/>
    <tableColumn id="4" xr3:uid="{00000000-0010-0000-4B00-000004000000}" name="Столбец4" dataDxfId="87"/>
    <tableColumn id="5" xr3:uid="{00000000-0010-0000-4B00-000005000000}" name="Столбец5" dataDxfId="86"/>
    <tableColumn id="6" xr3:uid="{00000000-0010-0000-4B00-000006000000}" name="Столбец6" dataDxfId="85"/>
    <tableColumn id="7" xr3:uid="{00000000-0010-0000-4B00-000007000000}" name="Столбец7" dataDxfId="84"/>
    <tableColumn id="8" xr3:uid="{00000000-0010-0000-4B00-000008000000}" name="Столбец8" dataDxfId="83"/>
    <tableColumn id="9" xr3:uid="{00000000-0010-0000-4B00-000009000000}" name="Столбец9" dataDxfId="82"/>
    <tableColumn id="10" xr3:uid="{00000000-0010-0000-4B00-00000A000000}" name="Столбец10" dataDxfId="81"/>
    <tableColumn id="11" xr3:uid="{00000000-0010-0000-4B00-00000B000000}" name="Столбец11" dataDxfId="80"/>
    <tableColumn id="12" xr3:uid="{00000000-0010-0000-4B00-00000C000000}" name="Столбец12" dataDxfId="79"/>
    <tableColumn id="13" xr3:uid="{00000000-0010-0000-4B00-00000D000000}" name="Столбец13" dataDxfId="78"/>
    <tableColumn id="14" xr3:uid="{00000000-0010-0000-4B00-00000E000000}" name="Столбец14" dataDxfId="77"/>
  </tableColumns>
  <tableStyleInfo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00000000-000C-0000-FFFF-FFFF4C000000}" name="Таблица_стимуляторы_специальные2" displayName="Таблица_стимуляторы_специальные2" ref="A8:N12" totalsRowShown="0" headerRowDxfId="76" headerRowBorderDxfId="75" tableBorderDxfId="74" totalsRowBorderDxfId="73">
  <autoFilter ref="A8:N12" xr:uid="{00000000-0009-0000-0100-00005A000000}"/>
  <tableColumns count="14">
    <tableColumn id="1" xr3:uid="{00000000-0010-0000-4C00-000001000000}" name="название" dataDxfId="72"/>
    <tableColumn id="2" xr3:uid="{00000000-0010-0000-4C00-000002000000}" name="Столбец2" dataDxfId="71"/>
    <tableColumn id="3" xr3:uid="{00000000-0010-0000-4C00-000003000000}" name="Столбец3" dataDxfId="70"/>
    <tableColumn id="4" xr3:uid="{00000000-0010-0000-4C00-000004000000}" name="Столбец4" dataDxfId="69"/>
    <tableColumn id="5" xr3:uid="{00000000-0010-0000-4C00-000005000000}" name="Столбец5" dataDxfId="68"/>
    <tableColumn id="6" xr3:uid="{00000000-0010-0000-4C00-000006000000}" name="Столбец6" dataDxfId="67"/>
    <tableColumn id="7" xr3:uid="{00000000-0010-0000-4C00-000007000000}" name="Столбец7" dataDxfId="66"/>
    <tableColumn id="8" xr3:uid="{00000000-0010-0000-4C00-000008000000}" name="Столбец8" dataDxfId="65"/>
    <tableColumn id="9" xr3:uid="{00000000-0010-0000-4C00-000009000000}" name="Столбец9" dataDxfId="64"/>
    <tableColumn id="10" xr3:uid="{00000000-0010-0000-4C00-00000A000000}" name="Столбец10" dataDxfId="63"/>
    <tableColumn id="11" xr3:uid="{00000000-0010-0000-4C00-00000B000000}" name="Столбец11" dataDxfId="62"/>
    <tableColumn id="12" xr3:uid="{00000000-0010-0000-4C00-00000C000000}" name="Столбец12" dataDxfId="61"/>
    <tableColumn id="13" xr3:uid="{00000000-0010-0000-4C00-00000D000000}" name="Столбец13" dataDxfId="60"/>
    <tableColumn id="14" xr3:uid="{00000000-0010-0000-4C00-00000E000000}" name="Столбец14" dataDxfId="59"/>
  </tableColumns>
  <tableStyleInfo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00000000-000C-0000-FFFF-FFFF4D000000}" name="Таблица_стимуляторы" displayName="Таблица_стимуляторы" ref="A14:N43" totalsRowShown="0" headerRowDxfId="58" headerRowBorderDxfId="57" tableBorderDxfId="56">
  <autoFilter ref="A14:N43" xr:uid="{00000000-0009-0000-0100-00005C000000}"/>
  <tableColumns count="14">
    <tableColumn id="1" xr3:uid="{00000000-0010-0000-4D00-000001000000}" name="название" dataDxfId="55"/>
    <tableColumn id="2" xr3:uid="{00000000-0010-0000-4D00-000002000000}" name="Столбец2" dataDxfId="54"/>
    <tableColumn id="3" xr3:uid="{00000000-0010-0000-4D00-000003000000}" name="Столбец3" dataDxfId="53"/>
    <tableColumn id="4" xr3:uid="{00000000-0010-0000-4D00-000004000000}" name="базовое значение" dataDxfId="52"/>
    <tableColumn id="5" xr3:uid="{00000000-0010-0000-4D00-000005000000}" name="Столбец5" dataDxfId="51"/>
    <tableColumn id="6" xr3:uid="{00000000-0010-0000-4D00-000006000000}" name="Столбец6" dataDxfId="50"/>
    <tableColumn id="7" xr3:uid="{00000000-0010-0000-4D00-000007000000}" name="Столбец7" dataDxfId="49"/>
    <tableColumn id="8" xr3:uid="{00000000-0010-0000-4D00-000008000000}" name="Столбец8" dataDxfId="48"/>
    <tableColumn id="9" xr3:uid="{00000000-0010-0000-4D00-000009000000}" name="Столбец9" dataDxfId="47"/>
    <tableColumn id="10" xr3:uid="{00000000-0010-0000-4D00-00000A000000}" name="Столбец10" dataDxfId="46"/>
    <tableColumn id="11" xr3:uid="{00000000-0010-0000-4D00-00000B000000}" name="Столбец11" dataDxfId="45"/>
    <tableColumn id="12" xr3:uid="{00000000-0010-0000-4D00-00000C000000}" name="Столбец12" dataDxfId="44"/>
    <tableColumn id="13" xr3:uid="{00000000-0010-0000-4D00-00000D000000}" name="Столбец13" dataDxfId="43"/>
    <tableColumn id="14" xr3:uid="{00000000-0010-0000-4D00-00000E000000}" name="Столбец14" dataDxfId="42"/>
  </tableColumns>
  <tableStyleInfo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00000000-000C-0000-FFFF-FFFF4E000000}" name="Таблица_расчета_стимуляторов" displayName="Таблица_расчета_стимуляторов" ref="P2:AZ32" totalsRowShown="0" headerRowDxfId="41" dataDxfId="39" headerRowBorderDxfId="40" tableBorderDxfId="38" totalsRowBorderDxfId="37">
  <autoFilter ref="P2:AZ32" xr:uid="{00000000-0009-0000-0100-00005D000000}"/>
  <tableColumns count="37">
    <tableColumn id="1" xr3:uid="{00000000-0010-0000-4E00-000001000000}" name="Столбец1" dataDxfId="36"/>
    <tableColumn id="2" xr3:uid="{00000000-0010-0000-4E00-000002000000}" name="Столбец2" dataDxfId="35"/>
    <tableColumn id="3" xr3:uid="{00000000-0010-0000-4E00-000003000000}" name="Столбец3" dataDxfId="34">
      <calculatedColumnFormula>IF(Стимуляторы!E3="гемобуфер альфа",0.5^(COUNTIF(Стимуляторы!E3,"гемобуфер альфа")+AB2-1)*$D$24,0)</calculatedColumnFormula>
    </tableColumn>
    <tableColumn id="4" xr3:uid="{00000000-0010-0000-4E00-000004000000}" name="Столбец4" dataDxfId="33">
      <calculatedColumnFormula>IF(Стимуляторы!F2="гемобуфер бета",0.5^(COUNTIF(Стимуляторы!E8:F8,"Здоровье")-1)*$D$24,0)</calculatedColumnFormula>
    </tableColumn>
    <tableColumn id="5" xr3:uid="{00000000-0010-0000-4E00-000005000000}" name="Столбец5" dataDxfId="32">
      <calculatedColumnFormula>IF(Стимуляторы!G3="гемобуфер альфа",0.5^(COUNTIF(Стимуляторы!E3:G4,"гемобуфер альфа")-1)*$D$17,0)</calculatedColumnFormula>
    </tableColumn>
    <tableColumn id="6" xr3:uid="{00000000-0010-0000-4E00-000006000000}" name="Столбец6" dataDxfId="31">
      <calculatedColumnFormula>IF(Стимуляторы!H3="гемобуфер альфа",0.5^(COUNTIF(Стимуляторы!E3:H4,"гемобуфер альфа")-1)*$D$17,0)</calculatedColumnFormula>
    </tableColumn>
    <tableColumn id="7" xr3:uid="{00000000-0010-0000-4E00-000007000000}" name="Столбец7" dataDxfId="30">
      <calculatedColumnFormula>IF(Стимуляторы!I3="гемобуфер альфа",0.5^(COUNTIF(Стимуляторы!E3:I4,"гемобуфер альфа")-1)*$D$17,0)</calculatedColumnFormula>
    </tableColumn>
    <tableColumn id="8" xr3:uid="{00000000-0010-0000-4E00-000008000000}" name="Столбец8" dataDxfId="29">
      <calculatedColumnFormula>IF(Стимуляторы!J3="гемобуфер альфа",0.5^(COUNTIF(Стимуляторы!E3:J4,"гемобуфер альфа")-1)*$D$17,0)</calculatedColumnFormula>
    </tableColumn>
    <tableColumn id="9" xr3:uid="{00000000-0010-0000-4E00-000009000000}" name="Столбец9" dataDxfId="28">
      <calculatedColumnFormula>IF(Стимуляторы!K3="гемобуфер альфа",0.5^(COUNTIF(Стимуляторы!E3:K4,"гемобуфер альфа")-1)*$D$17,0)</calculatedColumnFormula>
    </tableColumn>
    <tableColumn id="10" xr3:uid="{00000000-0010-0000-4E00-00000A000000}" name="Столбец10" dataDxfId="27">
      <calculatedColumnFormula>IF(Стимуляторы!L3="гемобуфер альфа",0.5^(COUNTIF(Стимуляторы!E3:L4,"гемобуфер альфа")-1)*$D$17,0)</calculatedColumnFormula>
    </tableColumn>
    <tableColumn id="11" xr3:uid="{00000000-0010-0000-4E00-00000B000000}" name="Столбец11" dataDxfId="26">
      <calculatedColumnFormula>IF(Стимуляторы!M3="гемобуфер альфа",0.5^(COUNTIF(Стимуляторы!E3:M4,"гемобуфер альфа")-1)*$D$17,0)</calculatedColumnFormula>
    </tableColumn>
    <tableColumn id="12" xr3:uid="{00000000-0010-0000-4E00-00000C000000}" name="Столбец12" dataDxfId="25">
      <calculatedColumnFormula>IF(Стимуляторы!N3="гемобуфер альфа",0.5^(COUNTIF(Стимуляторы!E3:N4,"гемобуфер альфа")-1)*$D$17,0)</calculatedColumnFormula>
    </tableColumn>
    <tableColumn id="13" xr3:uid="{00000000-0010-0000-4E00-00000D000000}" name="Кол-во" dataDxfId="24">
      <calculatedColumnFormula>COUNTIF(R3:AA3,"&gt;0")</calculatedColumnFormula>
    </tableColumn>
    <tableColumn id="14" xr3:uid="{00000000-0010-0000-4E00-00000E000000}" name="Столбец13" dataDxfId="23"/>
    <tableColumn id="15" xr3:uid="{00000000-0010-0000-4E00-00000F000000}" name="Столбец14" dataDxfId="22"/>
    <tableColumn id="16" xr3:uid="{00000000-0010-0000-4E00-000010000000}" name="Столбец15" dataDxfId="21"/>
    <tableColumn id="17" xr3:uid="{00000000-0010-0000-4E00-000011000000}" name="Столбец16" dataDxfId="20"/>
    <tableColumn id="18" xr3:uid="{00000000-0010-0000-4E00-000012000000}" name="Столбец17" dataDxfId="19"/>
    <tableColumn id="19" xr3:uid="{00000000-0010-0000-4E00-000013000000}" name="Столбец18" dataDxfId="18"/>
    <tableColumn id="20" xr3:uid="{00000000-0010-0000-4E00-000014000000}" name="Столбец19" dataDxfId="17"/>
    <tableColumn id="21" xr3:uid="{00000000-0010-0000-4E00-000015000000}" name="Столбец20" dataDxfId="16"/>
    <tableColumn id="22" xr3:uid="{00000000-0010-0000-4E00-000016000000}" name="Столбец21" dataDxfId="15"/>
    <tableColumn id="23" xr3:uid="{00000000-0010-0000-4E00-000017000000}" name="Столбец22" dataDxfId="14"/>
    <tableColumn id="24" xr3:uid="{00000000-0010-0000-4E00-000018000000}" name="Столбец23" dataDxfId="13"/>
    <tableColumn id="25" xr3:uid="{00000000-0010-0000-4E00-000019000000}" name="Кол-во2" dataDxfId="12"/>
    <tableColumn id="26" xr3:uid="{00000000-0010-0000-4E00-00001A000000}" name="Столбец24" dataDxfId="11"/>
    <tableColumn id="27" xr3:uid="{00000000-0010-0000-4E00-00001B000000}" name="Столбец25" dataDxfId="10"/>
    <tableColumn id="28" xr3:uid="{00000000-0010-0000-4E00-00001C000000}" name="Столбец26" dataDxfId="9"/>
    <tableColumn id="29" xr3:uid="{00000000-0010-0000-4E00-00001D000000}" name="Столбец27" dataDxfId="8"/>
    <tableColumn id="30" xr3:uid="{00000000-0010-0000-4E00-00001E000000}" name="Столбец28" dataDxfId="7"/>
    <tableColumn id="31" xr3:uid="{00000000-0010-0000-4E00-00001F000000}" name="Столбец29" dataDxfId="6"/>
    <tableColumn id="32" xr3:uid="{00000000-0010-0000-4E00-000020000000}" name="Столбец30" dataDxfId="5"/>
    <tableColumn id="33" xr3:uid="{00000000-0010-0000-4E00-000021000000}" name="Столбец31" dataDxfId="4"/>
    <tableColumn id="34" xr3:uid="{00000000-0010-0000-4E00-000022000000}" name="Столбец32" dataDxfId="3"/>
    <tableColumn id="35" xr3:uid="{00000000-0010-0000-4E00-000023000000}" name="Столбец33" dataDxfId="2"/>
    <tableColumn id="36" xr3:uid="{00000000-0010-0000-4E00-000024000000}" name="Столбец34" dataDxfId="1"/>
    <tableColumn id="37" xr3:uid="{00000000-0010-0000-4E00-000025000000}" name="Кол-во4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image" Target="../media/image1.jpeg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84" Type="http://schemas.openxmlformats.org/officeDocument/2006/relationships/ctrlProp" Target="../ctrlProps/ctrlProp80.xml"/><Relationship Id="rId89" Type="http://schemas.openxmlformats.org/officeDocument/2006/relationships/ctrlProp" Target="../ctrlProps/ctrlProp85.xml"/><Relationship Id="rId16" Type="http://schemas.openxmlformats.org/officeDocument/2006/relationships/ctrlProp" Target="../ctrlProps/ctrlProp12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5" Type="http://schemas.openxmlformats.org/officeDocument/2006/relationships/ctrlProp" Target="../ctrlProps/ctrlProp1.xml"/><Relationship Id="rId90" Type="http://schemas.openxmlformats.org/officeDocument/2006/relationships/ctrlProp" Target="../ctrlProps/ctrlProp86.xml"/><Relationship Id="rId95" Type="http://schemas.openxmlformats.org/officeDocument/2006/relationships/ctrlProp" Target="../ctrlProps/ctrlProp91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80" Type="http://schemas.openxmlformats.org/officeDocument/2006/relationships/ctrlProp" Target="../ctrlProps/ctrlProp76.xml"/><Relationship Id="rId85" Type="http://schemas.openxmlformats.org/officeDocument/2006/relationships/ctrlProp" Target="../ctrlProps/ctrlProp81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94" Type="http://schemas.openxmlformats.org/officeDocument/2006/relationships/ctrlProp" Target="../ctrlProps/ctrlProp90.xml"/><Relationship Id="rId4" Type="http://schemas.openxmlformats.org/officeDocument/2006/relationships/image" Target="../media/image153.jpeg"/><Relationship Id="rId9" Type="http://schemas.openxmlformats.org/officeDocument/2006/relationships/ctrlProp" Target="../ctrlProps/ctrlProp5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13" Type="http://schemas.openxmlformats.org/officeDocument/2006/relationships/table" Target="../tables/table17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12" Type="http://schemas.openxmlformats.org/officeDocument/2006/relationships/table" Target="../tables/table16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image" Target="../media/image1.jpeg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34.xml"/><Relationship Id="rId18" Type="http://schemas.openxmlformats.org/officeDocument/2006/relationships/table" Target="../tables/table39.xml"/><Relationship Id="rId26" Type="http://schemas.openxmlformats.org/officeDocument/2006/relationships/table" Target="../tables/table47.xml"/><Relationship Id="rId39" Type="http://schemas.openxmlformats.org/officeDocument/2006/relationships/table" Target="../tables/table60.xml"/><Relationship Id="rId21" Type="http://schemas.openxmlformats.org/officeDocument/2006/relationships/table" Target="../tables/table42.xml"/><Relationship Id="rId34" Type="http://schemas.openxmlformats.org/officeDocument/2006/relationships/table" Target="../tables/table55.xml"/><Relationship Id="rId42" Type="http://schemas.openxmlformats.org/officeDocument/2006/relationships/table" Target="../tables/table63.xml"/><Relationship Id="rId47" Type="http://schemas.openxmlformats.org/officeDocument/2006/relationships/table" Target="../tables/table68.xml"/><Relationship Id="rId7" Type="http://schemas.openxmlformats.org/officeDocument/2006/relationships/table" Target="../tables/table28.xml"/><Relationship Id="rId2" Type="http://schemas.openxmlformats.org/officeDocument/2006/relationships/table" Target="../tables/table23.xml"/><Relationship Id="rId16" Type="http://schemas.openxmlformats.org/officeDocument/2006/relationships/table" Target="../tables/table37.xml"/><Relationship Id="rId29" Type="http://schemas.openxmlformats.org/officeDocument/2006/relationships/table" Target="../tables/table50.xml"/><Relationship Id="rId11" Type="http://schemas.openxmlformats.org/officeDocument/2006/relationships/table" Target="../tables/table32.xml"/><Relationship Id="rId24" Type="http://schemas.openxmlformats.org/officeDocument/2006/relationships/table" Target="../tables/table45.xml"/><Relationship Id="rId32" Type="http://schemas.openxmlformats.org/officeDocument/2006/relationships/table" Target="../tables/table53.xml"/><Relationship Id="rId37" Type="http://schemas.openxmlformats.org/officeDocument/2006/relationships/table" Target="../tables/table58.xml"/><Relationship Id="rId40" Type="http://schemas.openxmlformats.org/officeDocument/2006/relationships/table" Target="../tables/table61.xml"/><Relationship Id="rId45" Type="http://schemas.openxmlformats.org/officeDocument/2006/relationships/table" Target="../tables/table66.xml"/><Relationship Id="rId5" Type="http://schemas.openxmlformats.org/officeDocument/2006/relationships/table" Target="../tables/table26.xml"/><Relationship Id="rId15" Type="http://schemas.openxmlformats.org/officeDocument/2006/relationships/table" Target="../tables/table36.xml"/><Relationship Id="rId23" Type="http://schemas.openxmlformats.org/officeDocument/2006/relationships/table" Target="../tables/table44.xml"/><Relationship Id="rId28" Type="http://schemas.openxmlformats.org/officeDocument/2006/relationships/table" Target="../tables/table49.xml"/><Relationship Id="rId36" Type="http://schemas.openxmlformats.org/officeDocument/2006/relationships/table" Target="../tables/table57.xml"/><Relationship Id="rId49" Type="http://schemas.openxmlformats.org/officeDocument/2006/relationships/table" Target="../tables/table70.xml"/><Relationship Id="rId10" Type="http://schemas.openxmlformats.org/officeDocument/2006/relationships/table" Target="../tables/table31.xml"/><Relationship Id="rId19" Type="http://schemas.openxmlformats.org/officeDocument/2006/relationships/table" Target="../tables/table40.xml"/><Relationship Id="rId31" Type="http://schemas.openxmlformats.org/officeDocument/2006/relationships/table" Target="../tables/table52.xml"/><Relationship Id="rId44" Type="http://schemas.openxmlformats.org/officeDocument/2006/relationships/table" Target="../tables/table65.xml"/><Relationship Id="rId4" Type="http://schemas.openxmlformats.org/officeDocument/2006/relationships/table" Target="../tables/table25.xml"/><Relationship Id="rId9" Type="http://schemas.openxmlformats.org/officeDocument/2006/relationships/table" Target="../tables/table30.xml"/><Relationship Id="rId14" Type="http://schemas.openxmlformats.org/officeDocument/2006/relationships/table" Target="../tables/table35.xml"/><Relationship Id="rId22" Type="http://schemas.openxmlformats.org/officeDocument/2006/relationships/table" Target="../tables/table43.xml"/><Relationship Id="rId27" Type="http://schemas.openxmlformats.org/officeDocument/2006/relationships/table" Target="../tables/table48.xml"/><Relationship Id="rId30" Type="http://schemas.openxmlformats.org/officeDocument/2006/relationships/table" Target="../tables/table51.xml"/><Relationship Id="rId35" Type="http://schemas.openxmlformats.org/officeDocument/2006/relationships/table" Target="../tables/table56.xml"/><Relationship Id="rId43" Type="http://schemas.openxmlformats.org/officeDocument/2006/relationships/table" Target="../tables/table64.xml"/><Relationship Id="rId48" Type="http://schemas.openxmlformats.org/officeDocument/2006/relationships/table" Target="../tables/table69.xml"/><Relationship Id="rId8" Type="http://schemas.openxmlformats.org/officeDocument/2006/relationships/table" Target="../tables/table29.xml"/><Relationship Id="rId3" Type="http://schemas.openxmlformats.org/officeDocument/2006/relationships/table" Target="../tables/table24.xml"/><Relationship Id="rId12" Type="http://schemas.openxmlformats.org/officeDocument/2006/relationships/table" Target="../tables/table33.xml"/><Relationship Id="rId17" Type="http://schemas.openxmlformats.org/officeDocument/2006/relationships/table" Target="../tables/table38.xml"/><Relationship Id="rId25" Type="http://schemas.openxmlformats.org/officeDocument/2006/relationships/table" Target="../tables/table46.xml"/><Relationship Id="rId33" Type="http://schemas.openxmlformats.org/officeDocument/2006/relationships/table" Target="../tables/table54.xml"/><Relationship Id="rId38" Type="http://schemas.openxmlformats.org/officeDocument/2006/relationships/table" Target="../tables/table59.xml"/><Relationship Id="rId46" Type="http://schemas.openxmlformats.org/officeDocument/2006/relationships/table" Target="../tables/table67.xml"/><Relationship Id="rId20" Type="http://schemas.openxmlformats.org/officeDocument/2006/relationships/table" Target="../tables/table41.xml"/><Relationship Id="rId41" Type="http://schemas.openxmlformats.org/officeDocument/2006/relationships/table" Target="../tables/table62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table" Target="../tables/table71.xml"/><Relationship Id="rId7" Type="http://schemas.openxmlformats.org/officeDocument/2006/relationships/table" Target="../tables/table7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4.xml"/><Relationship Id="rId5" Type="http://schemas.openxmlformats.org/officeDocument/2006/relationships/table" Target="../tables/table73.xml"/><Relationship Id="rId4" Type="http://schemas.openxmlformats.org/officeDocument/2006/relationships/table" Target="../tables/table7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3.jpeg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7.xml"/><Relationship Id="rId2" Type="http://schemas.openxmlformats.org/officeDocument/2006/relationships/table" Target="../tables/table76.xml"/><Relationship Id="rId1" Type="http://schemas.openxmlformats.org/officeDocument/2006/relationships/drawing" Target="../drawings/drawing6.xml"/><Relationship Id="rId5" Type="http://schemas.openxmlformats.org/officeDocument/2006/relationships/table" Target="../tables/table79.xml"/><Relationship Id="rId4" Type="http://schemas.openxmlformats.org/officeDocument/2006/relationships/table" Target="../tables/table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6">
    <pageSetUpPr fitToPage="1"/>
  </sheetPr>
  <dimension ref="A1:V63"/>
  <sheetViews>
    <sheetView showGridLines="0" zoomScale="90" zoomScaleNormal="90" workbookViewId="0">
      <pane ySplit="1" topLeftCell="A2" activePane="bottomLeft" state="frozen"/>
      <selection activeCell="E20" sqref="E20"/>
      <selection pane="bottomLeft" activeCell="A15" sqref="A1:XFD1048576"/>
    </sheetView>
  </sheetViews>
  <sheetFormatPr defaultRowHeight="14.25" x14ac:dyDescent="0.25"/>
  <cols>
    <col min="1" max="1" width="20.140625" style="1" customWidth="1"/>
    <col min="2" max="2" width="5.85546875" style="1" customWidth="1"/>
    <col min="3" max="3" width="8.140625" style="1" customWidth="1"/>
    <col min="4" max="4" width="21.85546875" style="1" customWidth="1"/>
    <col min="5" max="6" width="7.85546875" style="1" customWidth="1"/>
    <col min="7" max="7" width="15" style="38" customWidth="1"/>
    <col min="8" max="8" width="4.140625" style="1" customWidth="1"/>
    <col min="9" max="9" width="9.140625" style="1"/>
    <col min="10" max="10" width="4.28515625" style="1" customWidth="1"/>
    <col min="11" max="11" width="3.85546875" style="1" customWidth="1"/>
    <col min="12" max="12" width="19" style="1" customWidth="1"/>
    <col min="13" max="14" width="9.7109375" style="1" customWidth="1"/>
    <col min="15" max="15" width="8.7109375" style="1" customWidth="1"/>
    <col min="16" max="16" width="9.7109375" style="1" customWidth="1"/>
    <col min="17" max="17" width="19" style="1" customWidth="1"/>
    <col min="18" max="18" width="10" style="1" customWidth="1"/>
    <col min="19" max="19" width="7.140625" style="1" customWidth="1"/>
    <col min="20" max="20" width="18.28515625" style="1" customWidth="1"/>
    <col min="21" max="16384" width="9.140625" style="1"/>
  </cols>
  <sheetData>
    <row r="1" spans="1:22" x14ac:dyDescent="0.25">
      <c r="A1" s="1595" t="s">
        <v>145</v>
      </c>
      <c r="B1" s="1606"/>
      <c r="C1" s="1597"/>
      <c r="D1" s="41" t="s">
        <v>378</v>
      </c>
      <c r="E1" s="1607">
        <f>SUM(G9+G23+G35+G42+G51+G58+G63)</f>
        <v>168068020</v>
      </c>
      <c r="F1" s="1608"/>
      <c r="G1" s="1596" t="s">
        <v>243</v>
      </c>
      <c r="H1" s="1596"/>
      <c r="I1" s="1607">
        <f>IF(M1&gt;0,SUM(M1-E1),0)</f>
        <v>0</v>
      </c>
      <c r="J1" s="1608"/>
      <c r="K1" s="1612" t="s">
        <v>244</v>
      </c>
      <c r="L1" s="1606"/>
      <c r="M1" s="1613">
        <v>0</v>
      </c>
      <c r="N1" s="1613"/>
      <c r="O1" s="1613"/>
      <c r="T1" s="364"/>
      <c r="U1" s="364"/>
      <c r="V1" s="364"/>
    </row>
    <row r="2" spans="1:22" x14ac:dyDescent="0.25">
      <c r="A2" s="45" t="s">
        <v>146</v>
      </c>
      <c r="B2" s="79">
        <v>0</v>
      </c>
      <c r="C2" s="46">
        <f>ROUNDDOWN((10+B2)*(1+0.08*J3),0)</f>
        <v>25</v>
      </c>
      <c r="D2" s="1609" t="s">
        <v>152</v>
      </c>
      <c r="E2" s="1610"/>
      <c r="F2" s="1610"/>
      <c r="G2" s="1610"/>
      <c r="H2" s="1610"/>
      <c r="I2" s="1610"/>
      <c r="J2" s="1611"/>
      <c r="K2" s="1612" t="s">
        <v>275</v>
      </c>
      <c r="L2" s="1606"/>
      <c r="M2" s="1606"/>
      <c r="N2" s="1606"/>
      <c r="O2" s="1614"/>
      <c r="P2" s="1612"/>
      <c r="Q2" s="1606"/>
      <c r="R2" s="1606"/>
      <c r="S2" s="1606"/>
      <c r="T2" s="364"/>
      <c r="U2" s="364"/>
      <c r="V2" s="364"/>
    </row>
    <row r="3" spans="1:22" x14ac:dyDescent="0.25">
      <c r="A3" s="47" t="s">
        <v>148</v>
      </c>
      <c r="B3" s="79">
        <v>5</v>
      </c>
      <c r="C3" s="46">
        <f>ROUNDDOWN((10+B3)*(1+0.08*J4),0)+Импланты!B4+Импланты!C4+Импланты!D4+Импланты!E4+Импланты!F4+Импланты!G4</f>
        <v>37</v>
      </c>
      <c r="D3" s="47" t="s">
        <v>146</v>
      </c>
      <c r="F3" s="1" t="s">
        <v>153</v>
      </c>
      <c r="G3" s="38">
        <f>IF(J3&gt;0,VLOOKUP(J3,Таблица_тренинг_С[],3,0),0)</f>
        <v>3213000</v>
      </c>
      <c r="I3" s="1" t="s">
        <v>154</v>
      </c>
      <c r="J3" s="76">
        <v>19</v>
      </c>
      <c r="K3" s="1615">
        <v>0</v>
      </c>
      <c r="L3" s="1616"/>
      <c r="M3" s="1616"/>
      <c r="N3" s="1616"/>
      <c r="O3" s="1617"/>
      <c r="P3" s="1609"/>
      <c r="Q3" s="1610"/>
      <c r="R3" s="1610"/>
      <c r="S3" s="1610"/>
      <c r="T3" s="364"/>
      <c r="U3" s="364"/>
      <c r="V3" s="364"/>
    </row>
    <row r="4" spans="1:22" x14ac:dyDescent="0.25">
      <c r="A4" s="48" t="s">
        <v>147</v>
      </c>
      <c r="B4" s="79">
        <v>5</v>
      </c>
      <c r="C4" s="46">
        <f>ROUNDDOWN((10+B4)*(1+0.08*J5),0)+Импланты!B5+Импланты!C5+Импланты!D5+Импланты!E5+Импланты!F5+Импланты!G5</f>
        <v>40</v>
      </c>
      <c r="D4" s="47" t="s">
        <v>148</v>
      </c>
      <c r="F4" s="1" t="s">
        <v>153</v>
      </c>
      <c r="G4" s="38">
        <f>IF(J4&gt;0,VLOOKUP(J4,Таблица_тренинг_В[],3,0),0)</f>
        <v>3213000</v>
      </c>
      <c r="I4" s="1" t="s">
        <v>154</v>
      </c>
      <c r="J4" s="76">
        <v>19</v>
      </c>
      <c r="K4" s="1618">
        <f>SUM(I1-K3)</f>
        <v>0</v>
      </c>
      <c r="L4" s="1619"/>
      <c r="M4" s="1619"/>
      <c r="N4" s="1619"/>
      <c r="O4" s="1620"/>
      <c r="P4" s="1609"/>
      <c r="Q4" s="1610"/>
      <c r="R4" s="1610"/>
      <c r="S4" s="1610"/>
      <c r="T4" s="364"/>
      <c r="U4" s="364"/>
      <c r="V4" s="364"/>
    </row>
    <row r="5" spans="1:22" x14ac:dyDescent="0.25">
      <c r="A5" s="48" t="s">
        <v>379</v>
      </c>
      <c r="B5" s="79">
        <v>0</v>
      </c>
      <c r="C5" s="46">
        <f>ROUNDDOWN((10+B5)*(1+0.08*J6),0)+Импланты!B6+Импланты!C6+Импланты!D6+Импланты!E6+Импланты!F6+Импланты!G6</f>
        <v>25</v>
      </c>
      <c r="D5" s="47" t="s">
        <v>147</v>
      </c>
      <c r="F5" s="1" t="s">
        <v>153</v>
      </c>
      <c r="G5" s="38">
        <f>IF(J5&gt;0,VLOOKUP(J5,Таблица_тренинг_Л[],3,0),0)</f>
        <v>6094000</v>
      </c>
      <c r="I5" s="1" t="s">
        <v>154</v>
      </c>
      <c r="J5" s="76">
        <v>21</v>
      </c>
      <c r="K5" s="38"/>
      <c r="R5" s="1583"/>
      <c r="T5" s="364"/>
      <c r="U5" s="364"/>
      <c r="V5" s="364"/>
    </row>
    <row r="6" spans="1:22" ht="15" customHeight="1" x14ac:dyDescent="0.25">
      <c r="A6" s="48" t="s">
        <v>150</v>
      </c>
      <c r="B6" s="79">
        <v>0</v>
      </c>
      <c r="C6" s="46">
        <f>ROUNDDOWN((10+B6)*(1+0.08*J7),0)+Импланты!B7+Импланты!C7+Импланты!D7+Импланты!E7+Импланты!F7+Импланты!G7</f>
        <v>25</v>
      </c>
      <c r="D6" s="47" t="s">
        <v>379</v>
      </c>
      <c r="F6" s="1" t="s">
        <v>153</v>
      </c>
      <c r="G6" s="38">
        <f>IF(J6&gt;0,VLOOKUP(J6,Таблица_тренинг_И[],3,0),0)</f>
        <v>3213000</v>
      </c>
      <c r="I6" s="1" t="s">
        <v>154</v>
      </c>
      <c r="J6" s="76">
        <v>19</v>
      </c>
      <c r="L6" s="1526" t="s">
        <v>917</v>
      </c>
      <c r="M6" s="1579" t="str">
        <f>Примерочная!A2</f>
        <v>Ураган</v>
      </c>
      <c r="N6" s="1581"/>
      <c r="O6" s="1581"/>
      <c r="P6" s="1582"/>
      <c r="Q6" s="1590" t="s">
        <v>279</v>
      </c>
      <c r="R6" s="1590"/>
      <c r="S6" s="33">
        <f>20+((Навык_спринтер_ОД)+(Тренинг_Л_ОД)+(Моториум_альфа_ОД+Моториум_бета_ОД+Моториум_Альфа_М_ОД+Моториум_бета_М_ОД)+(Имплант_ОД+Цепочка_турбо_ОД+Цепочка_универсальный_солдат_ОД+Цепочка_коммандос_ОД)+(Бонусы_уникальных_предметов_феникс_ОД)+(Бонусы_сетов_ТБ_ОД))</f>
        <v>51</v>
      </c>
      <c r="T6" s="364"/>
      <c r="U6" s="364"/>
      <c r="V6" s="364"/>
    </row>
    <row r="7" spans="1:22" x14ac:dyDescent="0.25">
      <c r="A7" s="48" t="s">
        <v>151</v>
      </c>
      <c r="B7" s="79">
        <v>0</v>
      </c>
      <c r="C7" s="42">
        <f>ROUNDDOWN((10+B7)*(1+0.08*J8),0)+Импланты!B8+Импланты!C8+Импланты!D8+Импланты!E8+Импланты!F8+Импланты!G8</f>
        <v>25</v>
      </c>
      <c r="D7" s="47" t="s">
        <v>150</v>
      </c>
      <c r="F7" s="1" t="s">
        <v>153</v>
      </c>
      <c r="G7" s="38">
        <f>IF(J7&gt;0,VLOOKUP(J7,Таблица_тренинг_Т[],3,0),0)</f>
        <v>3213000</v>
      </c>
      <c r="I7" s="1" t="s">
        <v>154</v>
      </c>
      <c r="J7" s="76">
        <v>19</v>
      </c>
      <c r="L7" s="20" t="s">
        <v>253</v>
      </c>
      <c r="M7" s="1525">
        <f>ROUND(Примерочная!B26*(1+Бонусы_уникальных_предметов_феникс_защита_ШБ+Бонусы_уникальных_предметов_феникс_защита_ТБ+Бонусы_уникальных_предметов_феникс_защита_УБ)*(1+Навык_защита+Навык_использование_брони_защита+Ачивка_защита+Навык_ШБ_защита+Навык_УБ_защита+Имплант_защита+Цепочка_гвардеец_защита+Цепочка_универсальный_солдат_защита)+Бонус_модификаций_защита,1)</f>
        <v>463.3</v>
      </c>
      <c r="P7" s="61"/>
      <c r="Q7" s="1590" t="s">
        <v>278</v>
      </c>
      <c r="R7" s="1590"/>
      <c r="S7" s="33">
        <f>FLOOR(20+(Тренинг_Т_здоровье+Тренинг_С_здоровье+Навык_крепкое_здоровье_здоровье)+(Бонусы_уникальных_предметов_феникс_здоровье)+(Гемобуфер_альфа_здоровье+Гемобуфер_бета_здоровье+Гемобуфер_альфа_М_здоровье+Гемобуфер_бета_М_здоровье)+(Имплант_здоровье+Цепочка_Колос_злоровье)+(Ачивки_здоровье),1)</f>
        <v>91</v>
      </c>
      <c r="T7" s="364"/>
      <c r="U7" s="364"/>
      <c r="V7" s="364"/>
    </row>
    <row r="8" spans="1:22" x14ac:dyDescent="0.25">
      <c r="A8" s="52"/>
      <c r="B8" s="33"/>
      <c r="C8" s="53"/>
      <c r="D8" s="68" t="s">
        <v>151</v>
      </c>
      <c r="E8" s="54"/>
      <c r="F8" s="54" t="s">
        <v>153</v>
      </c>
      <c r="G8" s="55">
        <f>IF(J8&gt;0,VLOOKUP(J8,Таблица_тренинг_СВ[],3,0),0)</f>
        <v>3213000</v>
      </c>
      <c r="H8" s="54"/>
      <c r="I8" s="54" t="s">
        <v>154</v>
      </c>
      <c r="J8" s="77">
        <v>19</v>
      </c>
      <c r="L8" s="23" t="s">
        <v>294</v>
      </c>
      <c r="M8" s="49">
        <f>Примерочная!C26+Тренинг_Т_сопр._эфф.+Навык_сопр._эфф.+Навык_использование_брони_сопр._эфф.+Навык_УБ_сопр._эфф.+Бонус_модификаций_контузия+Имплант_сопротивление_эфф.+Цепочка_огненный_шторм_сопротивление_эффектам+Цепочка_сапер_сопротивление_эффектам+Цепочка_гвардеец_сопротивление_эффектам+Цепочка_охотник_сопротивление_эфф.+Ачивка_сопротивление_эфф.</f>
        <v>115</v>
      </c>
      <c r="N8" s="50" t="s">
        <v>255</v>
      </c>
      <c r="O8" s="51"/>
      <c r="P8" s="1495">
        <f>Примерочная!A26+Навык_использование_брони_маскировка+Навык_маскировка+Тренинг_Л_маскировка+Навык_ТБ_маскировка+Имплант_маскировка+Цепочка_гвардеец_маскировка+Цепочка_коммандос_маскировка_ТБ</f>
        <v>127</v>
      </c>
      <c r="Q8" s="1590" t="s">
        <v>381</v>
      </c>
      <c r="R8" s="1590"/>
      <c r="S8" s="33">
        <f>5+Навык_метаболизм_регенерация</f>
        <v>5</v>
      </c>
      <c r="T8" s="364"/>
      <c r="U8" s="364"/>
      <c r="V8" s="364"/>
    </row>
    <row r="9" spans="1:22" x14ac:dyDescent="0.25">
      <c r="A9" s="1598"/>
      <c r="B9" s="1599"/>
      <c r="C9" s="61"/>
      <c r="D9" s="54"/>
      <c r="E9" s="54" t="s">
        <v>277</v>
      </c>
      <c r="F9" s="54"/>
      <c r="G9" s="38">
        <f>SUM(G3:G8)</f>
        <v>22159000</v>
      </c>
      <c r="H9" s="54"/>
      <c r="I9" s="54"/>
      <c r="J9" s="58"/>
      <c r="L9" s="23" t="s">
        <v>295</v>
      </c>
      <c r="M9" s="56">
        <f>Примерочная!D26+Тренинг_Т_сопр._эфф.+Навык_сопр._эфф.+Навык_использование_брони_сопр._эфф.+Навык_УБ_сопр._эфф.+Бонус_модификаций_отравление+Имплант_сопротивление_эфф.+Цепочка_огненный_шторм_сопротивление_эффектам+Цепочка_сапер_сопротивление_эффектам+Цепочка_гвардеец_сопротивление_эффектам+Цепочка_охотник_сопротивление_эфф.+Ачивка_сопротивление_эфф.</f>
        <v>65</v>
      </c>
      <c r="N9" s="1591" t="s">
        <v>297</v>
      </c>
      <c r="O9" s="1605"/>
      <c r="P9" s="57">
        <f>Тренинг_СВ_снижение_урона+Ачивка_снижение_урона+Бонусы_сетов_УБ_снижение_урона+Бонус_модификаций_снижение_урона+Имплант_снижение_урона</f>
        <v>0.125</v>
      </c>
      <c r="Q9" s="1590" t="s">
        <v>922</v>
      </c>
      <c r="R9" s="1590"/>
      <c r="S9" s="33">
        <f>60+((Тренинг_С_грузоподъемность)+(Навык_турист_грузоподъемность)+(Имплант_грузоподъемность+Цепочка_дальнобойщик_грузоподъемность))</f>
        <v>185</v>
      </c>
      <c r="T9" s="364"/>
      <c r="U9" s="364"/>
      <c r="V9" s="364"/>
    </row>
    <row r="10" spans="1:22" x14ac:dyDescent="0.25">
      <c r="D10" s="1595" t="s">
        <v>67</v>
      </c>
      <c r="E10" s="1596"/>
      <c r="F10" s="1596"/>
      <c r="G10" s="1596"/>
      <c r="H10" s="1596"/>
      <c r="I10" s="1596"/>
      <c r="J10" s="1597"/>
      <c r="L10" s="23" t="s">
        <v>296</v>
      </c>
      <c r="M10" s="59">
        <f>Примерочная!E26+Тренинг_Т_сопр._эфф.+Навык_сопр._эфф.+Навык_использование_брони_сопр._эфф.+Навык_УБ_сопр._эфф.+Бонус_модификаций_шок+Имплант_сопротивление_эфф.+Цепочка_огненный_шторм_сопротивление_эффектам+Цепочка_сапер_сопротивление_эффектам+Цепочка_гвардеец_сопротивление_эффектам+Цепочка_охотник_сопротивление_эфф.+Ачивка_сопротивление_эфф.</f>
        <v>105</v>
      </c>
      <c r="N10" s="1591" t="s">
        <v>380</v>
      </c>
      <c r="O10" s="1605"/>
      <c r="P10" s="60">
        <f>Примерочная!F26+Тренинг_Л_крит._уклонение+Навык_крит._уклонение+Навык_использование_брони_крит._уклонение+Навык_ТБ_крит._уклонение+Навык_ШБ_крит._уклонение+Имплант_крит.уклонение+Цепочка_гвардеец_крит.уклонение</f>
        <v>107</v>
      </c>
      <c r="Q10" s="1590" t="s">
        <v>280</v>
      </c>
      <c r="R10" s="1590"/>
      <c r="S10" s="33">
        <f>10+Навык_оружие_мобильность</f>
        <v>15</v>
      </c>
      <c r="V10" s="364"/>
    </row>
    <row r="11" spans="1:22" x14ac:dyDescent="0.25">
      <c r="D11" s="62" t="s">
        <v>245</v>
      </c>
      <c r="E11" s="63"/>
      <c r="F11" s="1" t="s">
        <v>153</v>
      </c>
      <c r="G11" s="38">
        <f>IF(J11&gt;0,VLOOKUP(J11,Таблица_навык_оружие[],3,0)-(VLOOKUP(J11,Таблица_навык_оружие[],3,0)*((C4-10)/100)),0)</f>
        <v>7408100</v>
      </c>
      <c r="H11" s="63" t="s">
        <v>308</v>
      </c>
      <c r="I11" s="1" t="s">
        <v>154</v>
      </c>
      <c r="J11" s="78">
        <v>26</v>
      </c>
      <c r="K11" s="65"/>
      <c r="L11" s="23" t="s">
        <v>45</v>
      </c>
      <c r="M11" s="57">
        <f>Примерочная!H26</f>
        <v>0.16</v>
      </c>
      <c r="N11" s="1591" t="s">
        <v>299</v>
      </c>
      <c r="O11" s="1605"/>
      <c r="P11" s="60">
        <f>Примерочная!G26+Тренинг_СВ_крит._защ+Навык_крит._защита+Навык_использование_брони_крит._защита+Бонус_модификаций_крит._защита+Имплант_крит.защита+Цепочка_гвардеец_крит.защита</f>
        <v>173</v>
      </c>
      <c r="Q11" s="1591" t="s">
        <v>281</v>
      </c>
      <c r="R11" s="1592"/>
      <c r="S11" s="1588">
        <f>100%+Навык_скаут_скорость_по_карте+Навык_охотник_скорость_по_карте+Бонусы_уникальных_предметов_феникс_скорость_по_карте+Имплант_скорость_по_карте+Ачивка_скорость_по_карте+Цепочка_дальнобольщик_скорость_по_карте+Цепочка_скиталец_скорость_по_карте+Цепочка_странник_скорость_по_карте</f>
        <v>1.95</v>
      </c>
      <c r="V11" s="364"/>
    </row>
    <row r="12" spans="1:22" x14ac:dyDescent="0.25">
      <c r="D12" s="64" t="s">
        <v>71</v>
      </c>
      <c r="F12" s="1" t="s">
        <v>153</v>
      </c>
      <c r="G12" s="38">
        <f>IF(J12&gt;0,VLOOKUP(J12,Таблица_навык_урон[],3,0)-(VLOOKUP(J12,Таблица_навык_урон[],3,0)*((C5-10)/100)),0)</f>
        <v>6864600</v>
      </c>
      <c r="H12" s="1" t="s">
        <v>309</v>
      </c>
      <c r="I12" s="1" t="s">
        <v>154</v>
      </c>
      <c r="J12" s="76">
        <v>25</v>
      </c>
      <c r="K12" s="836"/>
      <c r="L12" s="36"/>
      <c r="Q12" s="1590" t="s">
        <v>283</v>
      </c>
      <c r="R12" s="1590"/>
      <c r="S12" s="33">
        <f>4-Навык_скиталец_побег_из_боя+Бонусы_уникальных_предметов_феникс_побег_из_боя+Цепочка_скиталец_побег_из_боя+Цепочка_странник_побег_из_боя</f>
        <v>3</v>
      </c>
      <c r="V12" s="364"/>
    </row>
    <row r="13" spans="1:22" ht="15" x14ac:dyDescent="0.25">
      <c r="D13" s="64" t="s">
        <v>246</v>
      </c>
      <c r="F13" s="1" t="s">
        <v>153</v>
      </c>
      <c r="G13" s="38">
        <f>IF(J13&gt;0,VLOOKUP(J13,Таблица_навык_крит._урон[],3,0)-(VLOOKUP(J13,Таблица_навык_крит._урон[],3,0)*((C5-10)/100)),0)</f>
        <v>6986150</v>
      </c>
      <c r="H13" s="1" t="s">
        <v>309</v>
      </c>
      <c r="I13" s="1" t="s">
        <v>154</v>
      </c>
      <c r="J13" s="76">
        <v>25</v>
      </c>
      <c r="K13" s="65"/>
      <c r="L13" s="1526" t="s">
        <v>918</v>
      </c>
      <c r="M13" s="1576" t="str">
        <f>Примерочная!V2</f>
        <v>Whisper</v>
      </c>
      <c r="N13" s="1576"/>
      <c r="O13" s="1576"/>
      <c r="P13" s="1577"/>
      <c r="Q13" s="23" t="s">
        <v>284</v>
      </c>
      <c r="R13" s="23"/>
      <c r="S13" s="1584">
        <f>20%+Навык_скиталец_найти_лут</f>
        <v>0.45</v>
      </c>
      <c r="V13" s="364"/>
    </row>
    <row r="14" spans="1:22" ht="15" x14ac:dyDescent="0.25">
      <c r="A14" s="1598"/>
      <c r="B14" s="1599"/>
      <c r="C14" s="66"/>
      <c r="D14" s="64" t="s">
        <v>69</v>
      </c>
      <c r="F14" s="1" t="s">
        <v>153</v>
      </c>
      <c r="G14" s="38">
        <f>IF(J14&gt;0,VLOOKUP(J14,Таблица_навык_точность[],3,0)-(VLOOKUP(J14,Таблица_навык_точность[],3,0)*((C3-10)/100)),0)</f>
        <v>5895480</v>
      </c>
      <c r="H14" s="1" t="s">
        <v>310</v>
      </c>
      <c r="I14" s="1" t="s">
        <v>154</v>
      </c>
      <c r="J14" s="76">
        <v>25</v>
      </c>
      <c r="K14" s="65"/>
      <c r="L14" s="33"/>
      <c r="M14" s="1595" t="s">
        <v>298</v>
      </c>
      <c r="N14" s="1597"/>
      <c r="O14" s="1595" t="s">
        <v>301</v>
      </c>
      <c r="P14" s="1597"/>
      <c r="Q14" s="1590" t="s">
        <v>285</v>
      </c>
      <c r="R14" s="1590"/>
      <c r="S14" s="1589">
        <f>100%+Навык_первая_помощь_эфф._апт.+Навык_охотник_эфф._аптечек+Бонусы_уникальных_предметов_феникс_эфф._аптечек+Имплант_эфф.аптечек+Ачивка_эфф._аптечек+Цепочка_медик_эфф.аптечек+Цепочка_универсальный_солдат_эфф._аптечек+Цепочка_Колос_эфф.аптечек</f>
        <v>2.3200000000000007</v>
      </c>
      <c r="V14" s="364"/>
    </row>
    <row r="15" spans="1:22" x14ac:dyDescent="0.25">
      <c r="C15" s="61"/>
      <c r="D15" s="47" t="s">
        <v>247</v>
      </c>
      <c r="F15" s="1" t="s">
        <v>153</v>
      </c>
      <c r="G15" s="38">
        <f>IF(J15&gt;0,VLOOKUP(J15,Таблица_навык_крит._попадание[],3,0)-(VLOOKUP(J15,Таблица_навык_крит._попадание[],3,0)*((C3-10)/100)),0)</f>
        <v>5999870</v>
      </c>
      <c r="H15" s="1" t="s">
        <v>310</v>
      </c>
      <c r="I15" s="1" t="s">
        <v>154</v>
      </c>
      <c r="J15" s="76">
        <v>25</v>
      </c>
      <c r="K15" s="65"/>
      <c r="L15" s="23" t="s">
        <v>71</v>
      </c>
      <c r="M15" s="1531">
        <f>ROUNDUP(Примерочная!V6*(1+Тренинг_И_урон+Навык_оружие_урон+Навык_урон+Имплант_урон+(Цепочка_разрушитель_урон+Цепочка_стрелок_дальность_П_ПП+Цепочка_универсальный_солдат_урон+Цепочка_ветеран_урон+Цепочка_гангстер_урон)+Навык_ШВ_Урон+Навык_ПУЛ._урон+Навык_ДРОБ._урон+Навык_СВ_урон+Бонусы_сетов_ТБ_урон_СВ+Бонусы_сетов_ТБ_урон_П_ПП+Ачивки_урон+Бонусы_сетов_ШБ_урон_ШВ+Бонусы_сетов_УБ_урон_дробовиков+Бонусы_уникальных_предметов_феникс_урон),1)</f>
        <v>139.19999999999999</v>
      </c>
      <c r="N15" s="1531">
        <f>ROUNDUP(Примерочная!W6*(1+Тренинг_И_урон+Навык_оружие_урон+Навык_урон+Имплант_урон+(Цепочка_разрушитель_урон+Цепочка_стрелок_дальность_П_ПП+Цепочка_универсальный_солдат_урон+Цепочка_ветеран_урон+Цепочка_гангстер_урон)+Навык_ШВ_Урон+Навык_ПУЛ._урон+Навык_ДРОБ._урон+Навык_СВ_урон+Бонусы_сетов_ТБ_урон_СВ+Бонусы_сетов_ТБ_урон_П_ПП+Ачивки_урон+Бонусы_сетов_ШБ_урон_ШВ+Бонусы_сетов_УБ_урон_дробовиков+Бонусы_уникальных_предметов_феникс_урон),1)</f>
        <v>151.69999999999999</v>
      </c>
      <c r="O15" s="1531">
        <f>ROUNDUP(Примерочная!V6*(1+Тренинг_И_урон+Навык_оружие_урон+Навык_урон+Имплант_урон+(Цепочка_разрушитель_урон+Цепочка_стрелок_дальность_П_ПП+Цепочка_универсальный_солдат_урон+Цепочка_ветеран_урон+Цепочка_гангстер_урон+Цепочка_охотник_урон_по_монстрам)+Навык_ШВ_Урон+Навык_ПУЛ._урон+Навык_ДРОБ._урон+Навык_СВ_урон+Бонусы_сетов_ТБ_урон_СВ+Бонусы_сетов_ТБ_урон_П_ПП+Ачивки_урон+Бонусы_сетов_ШБ_урон_ШВ+Бонусы_сетов_УБ_урон_дробовиков+Бонусы_уникальных_предметов_феникс_урон)*(1+Навык_ксенофиз._урон+Ачивка_урон_при_атаке_монстров+(Примерочная!P12*(1+Навык_эфф._боеприпасов))),1)</f>
        <v>215.79999999999998</v>
      </c>
      <c r="P15" s="1531">
        <f>Примерочная!W6*(1+Тренинг_И_урон+Навык_оружие_урон+Навык_урон+Имплант_урон+(Цепочка_разрушитель_урон+Цепочка_стрелок_дальность_П_ПП+Цепочка_универсальный_солдат_урон+Цепочка_ветеран_урон+Цепочка_гангстер_урон+Цепочка_охотник_урон_по_монстрам)+Навык_ШВ_Урон+Навык_ПУЛ._урон+Навык_ДРОБ._урон+Навык_СВ_урон+Бонусы_сетов_ТБ_урон_СВ+Бонусы_сетов_ТБ_урон_П_ПП+Ачивки_урон+Бонусы_сетов_ШБ_урон_ШВ+Бонусы_сетов_УБ_урон_дробовиков+Бонусы_уникальных_предметов_феникс_урон)*(1+Навык_ксенофиз._урон+Ачивка_урон_при_атаке_монстров+(Примерочная!P12*(1+Навык_эфф._боеприпасов)))</f>
        <v>235.01348000000002</v>
      </c>
      <c r="Q15" s="1590" t="s">
        <v>286</v>
      </c>
      <c r="R15" s="1590"/>
      <c r="S15" s="1584">
        <f>100%+Цепочка_универсальный_солдат_эффективность_боеприпасов+Навык_эфф._боеприпасов</f>
        <v>1.9500000000000002</v>
      </c>
      <c r="V15" s="364"/>
    </row>
    <row r="16" spans="1:22" x14ac:dyDescent="0.25">
      <c r="C16" s="61"/>
      <c r="D16" s="47" t="s">
        <v>217</v>
      </c>
      <c r="F16" s="1" t="s">
        <v>153</v>
      </c>
      <c r="G16" s="38">
        <f>IF(J16&gt;0,VLOOKUP(J16,Таблица_навык_снайперские_винтовки[],3,0)-(VLOOKUP(J16,Таблица_навык_снайперские_винтовки[],3,0)*((C3-10)/100)),0)</f>
        <v>13463390</v>
      </c>
      <c r="H16" s="1" t="s">
        <v>310</v>
      </c>
      <c r="I16" s="1" t="s">
        <v>154</v>
      </c>
      <c r="J16" s="76">
        <v>35</v>
      </c>
      <c r="K16" s="99"/>
      <c r="L16" s="23" t="s">
        <v>300</v>
      </c>
      <c r="M16" s="1603">
        <f>ROUNDUP(Примерочная!W6*((1+Тренинг_И_урон+Навык_оружие_урон+Навык_урон+Имплант_урон+Навык_СВ_урон+Навык_ШВ_Урон+Навык_ПУЛ._урон+Навык_ДРОБ._урон+Бонусы_сетов_ТБ_урон_СВ+Бонусы_сетов_ТБ_урон_П_ПП+Бонусы_сетов_ШБ_урон_ШВ+Бонусы_сетов_ШБ_урон_пулиметов+Бонусы_сетов_УБ_урон_дробовиков+Бонусы_уникальных_предметов_феникс_урон+Ачивки_урон)*(VLOOKUP(Примерочная!V2,Таблица_оружие[],34,0)*(1+Тренинг_И_крит._урон+Навык_оружие_крит._урон+Навык_крит._урон+Навык_СВ_крит._урон+Навык_ШВ_крит._урон+Навык_ПУЛ._крит._урон))),1)</f>
        <v>356.5</v>
      </c>
      <c r="N16" s="1604"/>
      <c r="O16" s="1603">
        <f>Примерочная!W6*((1+Тренинг_И_урон+Навык_оружие_урон+Навык_урон+Имплант_урон+(Цепочка_разрушитель_урон+Цепочка_стрелок_дальность_П_ПП+Цепочка_универсальный_солдат_урон+Цепочка_ветеран_урон+Цепочка_гангстер_урон+Цепочка_охотник_урон_по_монстрам)+Навык_СВ_урон+Навык_ШВ_Урон+Навык_ПУЛ._урон+Навык_ДРОБ._урон+Бонусы_сетов_ТБ_урон_СВ+Бонусы_сетов_ТБ_урон_П_ПП+Бонусы_сетов_ШБ_урон_ШВ+Бонусы_сетов_ШБ_урон_пулиметов+Бонусы_сетов_УБ_урон_дробовиков+Бонусы_уникальных_предметов_феникс_урон+Ачивки_урон)*(1+Навык_ксенофиз._урон+Ачивка_урон_при_атаке_монстров+HF_патроны))*VLOOKUP(Примерочная!V2,Таблица_оружие[],34,0)*(1+Тренинг_И_крит._урон+Навык_оружие_крит._урон+Навык_крит._урон+Навык_СВ_крит._урон+Навык_ШВ_крит._урон+Навык_ПУЛ._крит._урон)*(1+Навык_ксенофиз._крит._урон)</f>
        <v>1325.8849506552001</v>
      </c>
      <c r="P16" s="1604"/>
      <c r="Q16" s="23" t="s">
        <v>287</v>
      </c>
      <c r="R16" s="23"/>
      <c r="S16" s="1584">
        <f>100%+Цепочка_странник_потеря_трофеев+Навык_скиталец_потеря_трофеев</f>
        <v>0.5</v>
      </c>
      <c r="V16" s="364"/>
    </row>
    <row r="17" spans="1:22" ht="15" customHeight="1" x14ac:dyDescent="0.25">
      <c r="C17" s="61"/>
      <c r="D17" s="47" t="s">
        <v>183</v>
      </c>
      <c r="F17" s="1" t="s">
        <v>153</v>
      </c>
      <c r="G17" s="38">
        <f>IF(J17&gt;0,VLOOKUP(J17,Таблица_навык_штурмовые_винтовки[],3,0)-(VLOOKUP(J17,Таблица_навык_штурмовые_винтовки[],3,0)*((C4-10)/100)),0)</f>
        <v>1400</v>
      </c>
      <c r="H17" s="1" t="s">
        <v>308</v>
      </c>
      <c r="I17" s="1" t="s">
        <v>154</v>
      </c>
      <c r="J17" s="76">
        <v>1</v>
      </c>
      <c r="K17" s="99"/>
      <c r="L17" s="23" t="s">
        <v>375</v>
      </c>
      <c r="M17" s="1601">
        <f>Примерочная!X6*(1+Трениг_В_крит._попадание+Навык_крит._попадание+Навык_оружие_крит._попадание+Навык_СВ_крит._поп.+Цепочка_стрелок_Точность_П_ПП+Цепочка_ветеран_крит.попадание+Цепочка_гангстер_крит.поп+Имплант_крит.попадание+Ачивка_крит._попадание)</f>
        <v>28.181000000000004</v>
      </c>
      <c r="N17" s="1602"/>
      <c r="O17" s="1601">
        <f>Примерочная!X6*(1+Трениг_В_крит._попадание+Навык_крит._попадание+Навык_оружие_крит._попадание+Навык_СВ_крит._поп.+Ачивка_крит._попадание+Имплант_крит.попадание+Цепочка_стрелок_Точность_П_ПП+Цепочка_охотник_крит.попадание+Цепочка_ветеран_крит.попадание+Цепочка_гангстер_крит.поп)*(1+Навык_ксенофиз._крит._поп.)</f>
        <v>46.216840000000012</v>
      </c>
      <c r="P17" s="1602"/>
      <c r="Q17" s="23" t="s">
        <v>288</v>
      </c>
      <c r="R17" s="23"/>
      <c r="S17" s="1584">
        <f>100%+Цепочка_странник_потеря_трофеев_при_смерти</f>
        <v>1</v>
      </c>
      <c r="V17" s="364"/>
    </row>
    <row r="18" spans="1:22" ht="15" customHeight="1" x14ac:dyDescent="0.25">
      <c r="C18" s="61"/>
      <c r="D18" s="47" t="s">
        <v>376</v>
      </c>
      <c r="F18" s="1" t="s">
        <v>153</v>
      </c>
      <c r="G18" s="38">
        <f>IF(J18&gt;0,VLOOKUP(J18,Таблица_навык_пулиметы[],3,0)-(VLOOKUP(J18,Таблица_навык_пулиметы[],3,0)*((C2-10)/100)),0)</f>
        <v>1700</v>
      </c>
      <c r="H18" s="1" t="s">
        <v>311</v>
      </c>
      <c r="I18" s="1" t="s">
        <v>154</v>
      </c>
      <c r="J18" s="76">
        <v>1</v>
      </c>
      <c r="K18" s="99"/>
      <c r="L18" s="1580" t="s">
        <v>919</v>
      </c>
      <c r="M18" s="1624" t="s">
        <v>69</v>
      </c>
      <c r="N18" s="1622"/>
      <c r="O18" s="1621" t="s">
        <v>70</v>
      </c>
      <c r="P18" s="1622"/>
      <c r="Q18" s="1590" t="s">
        <v>289</v>
      </c>
      <c r="R18" s="1590"/>
      <c r="S18" s="1584">
        <f>100%+Навык_допинг_эфф._стим.+Цепочка_допинг_эфф.стимуляторов</f>
        <v>1.1000000000000001</v>
      </c>
      <c r="V18" s="364"/>
    </row>
    <row r="19" spans="1:22" ht="15" customHeight="1" x14ac:dyDescent="0.25">
      <c r="D19" s="64" t="s">
        <v>248</v>
      </c>
      <c r="F19" s="1" t="s">
        <v>153</v>
      </c>
      <c r="G19" s="38">
        <f>IF(J19&gt;0,VLOOKUP(J19,Таблица_навык_дробовики[],3,0)-(VLOOKUP(J19,Таблица_навык_дробовики[],3,0)*((C2-10)/100)),0)</f>
        <v>0</v>
      </c>
      <c r="H19" s="1" t="s">
        <v>311</v>
      </c>
      <c r="I19" s="1" t="s">
        <v>154</v>
      </c>
      <c r="J19" s="76">
        <v>0</v>
      </c>
      <c r="K19" s="99"/>
      <c r="L19" s="33">
        <v>1</v>
      </c>
      <c r="M19" s="1623">
        <f>Примерочная!Z6*(1+Тренинг_В_точность+Навык_точность+Навык_оружие_точность+Навык_ШВ_точность+Навык_ПУЛ._точность+Навык_ДРОБ._точность+Имплант_точность+Цепочка_стрелок_ОД_на_перезарядку_оружия+Цепочка_ветеран_точность+Цепочка_гангстер_точность)</f>
        <v>142.42500000000001</v>
      </c>
      <c r="N19" s="1604"/>
      <c r="O19" s="60">
        <f>Примерочная!AA6</f>
        <v>2</v>
      </c>
      <c r="P19" s="1495">
        <f>Примерочная!AB6*(1+Навык_оружие_дальность+Цепочка_стрелок_критическое_попадание_П_ПП+Цепочка_ветеран_дальность+Имплант_дальность)</f>
        <v>9.9899999999999984</v>
      </c>
      <c r="Q19" s="23" t="s">
        <v>290</v>
      </c>
      <c r="R19" s="23"/>
      <c r="S19" s="33">
        <f>15+Навык_допинг_итоксикация+Цепочка_допинг_интоксикация</f>
        <v>32</v>
      </c>
      <c r="V19" s="364"/>
    </row>
    <row r="20" spans="1:22" ht="15.75" customHeight="1" x14ac:dyDescent="0.25">
      <c r="D20" s="64" t="s">
        <v>249</v>
      </c>
      <c r="F20" s="1" t="s">
        <v>153</v>
      </c>
      <c r="G20" s="38">
        <f>IF(J20&gt;0,VLOOKUP(J20,Таблица_навык_мины[],3,0)-(VLOOKUP(J20,Таблица_навык_мины[],3,0)*((C4-10)/100)),0)</f>
        <v>2798600</v>
      </c>
      <c r="H20" s="1" t="s">
        <v>308</v>
      </c>
      <c r="I20" s="1" t="s">
        <v>154</v>
      </c>
      <c r="J20" s="76">
        <v>22</v>
      </c>
      <c r="K20" s="65"/>
      <c r="L20" s="33">
        <v>2</v>
      </c>
      <c r="M20" s="1623">
        <f>Примерочная!Z7*(1+Тренинг_В_точность+Навык_точность+Навык_оружие_точность+Навык_ШВ_точность+Навык_ПУЛ._точность+Навык_ДРОБ._точность+Имплант_точность+Цепочка_стрелок_ОД_на_перезарядку_оружия+Цепочка_ветеран_точность+Цепочка_гангстер_точность)</f>
        <v>170.91</v>
      </c>
      <c r="N20" s="1604"/>
      <c r="O20" s="60">
        <f>Примерочная!AA7</f>
        <v>6</v>
      </c>
      <c r="P20" s="1495">
        <f>Примерочная!AB7*(1+Навык_оружие_дальность+Цепочка_стрелок_критическое_попадание_П_ПП+Цепочка_ветеран_дальность+Имплант_дальность)</f>
        <v>17.759999999999998</v>
      </c>
      <c r="Q20" s="1600" t="s">
        <v>282</v>
      </c>
      <c r="R20" s="1600"/>
      <c r="S20" s="1600"/>
    </row>
    <row r="21" spans="1:22" ht="16.5" customHeight="1" x14ac:dyDescent="0.25">
      <c r="D21" s="64" t="s">
        <v>250</v>
      </c>
      <c r="F21" s="1" t="s">
        <v>153</v>
      </c>
      <c r="G21" s="38">
        <f>IF(J21&gt;0,VLOOKUP(J21,Таблица_навык_гранаты[],3,0)-(VLOOKUP(J21,Таблица_навык_гранаты[],3,0)*((C4-10)/100)),0)</f>
        <v>0</v>
      </c>
      <c r="H21" s="1" t="s">
        <v>308</v>
      </c>
      <c r="I21" s="1" t="s">
        <v>154</v>
      </c>
      <c r="J21" s="76">
        <v>0</v>
      </c>
      <c r="K21" s="65"/>
      <c r="L21" s="33">
        <v>3</v>
      </c>
      <c r="M21" s="1623">
        <f>Примерочная!Z8*(1+Тренинг_В_точность+Навык_точность+Навык_оружие_точность+Навык_ШВ_точность+Навык_ПУЛ._точность+Навык_ДРОБ._точность+Цепочка_стрелок_ОД_на_перезарядку_оружия+Цепочка_ветеран_точность+Цепочка_гангстер_точность)</f>
        <v>0</v>
      </c>
      <c r="N21" s="1604"/>
      <c r="O21" s="60">
        <f>Примерочная!AA8*(1+Цепочка_стрелок_критическое_попадание_П_ПП)</f>
        <v>0</v>
      </c>
      <c r="P21" s="1495">
        <f>Примерочная!AB8*(1+Навык_оружие_дальность+Цепочка_стрелок_критическое_попадание_П_ПП+Цепочка_ветеран_дальность+Имплант_дальность)</f>
        <v>0</v>
      </c>
      <c r="Q21" s="1590" t="s">
        <v>505</v>
      </c>
      <c r="R21" s="1590"/>
      <c r="S21" s="1584">
        <f>IFERROR(100%-VLOOKUP(J44,Таблица_навык_следопыт[],4,0),100%)</f>
        <v>0</v>
      </c>
    </row>
    <row r="22" spans="1:22" x14ac:dyDescent="0.25">
      <c r="D22" s="67" t="s">
        <v>251</v>
      </c>
      <c r="E22" s="54"/>
      <c r="F22" s="54" t="s">
        <v>153</v>
      </c>
      <c r="G22" s="55">
        <f>IF(J22&gt;0,VLOOKUP(J22,Таблица_навык_эффективность_боеприпасов[],3,0)-(VLOOKUP(J22,Таблица_навык_эффективность_боеприпасов[],3,0)*((C3-10)/100)),0)</f>
        <v>5999870</v>
      </c>
      <c r="H22" s="54" t="s">
        <v>310</v>
      </c>
      <c r="I22" s="54" t="s">
        <v>154</v>
      </c>
      <c r="J22" s="77">
        <v>25</v>
      </c>
      <c r="K22" s="836"/>
      <c r="Q22" s="1590" t="s">
        <v>506</v>
      </c>
      <c r="R22" s="1590"/>
      <c r="S22" s="1584">
        <f>IFERROR(100%-VLOOKUP(J44,Таблица_навык_следопыт[],5,0),100%)</f>
        <v>0</v>
      </c>
    </row>
    <row r="23" spans="1:22" x14ac:dyDescent="0.25">
      <c r="D23" s="1593" t="s">
        <v>277</v>
      </c>
      <c r="E23" s="1594"/>
      <c r="G23" s="38">
        <f>SUM(G11:G22)</f>
        <v>55419160</v>
      </c>
      <c r="H23" s="54"/>
      <c r="I23" s="54"/>
      <c r="J23" s="61"/>
      <c r="K23" s="836"/>
      <c r="Q23" s="1590" t="s">
        <v>507</v>
      </c>
      <c r="R23" s="1590"/>
      <c r="S23" s="1584">
        <f>IFERROR(100%-VLOOKUP(J44,Таблица_навык_следопыт[],6,0),100%)</f>
        <v>0</v>
      </c>
    </row>
    <row r="24" spans="1:22" x14ac:dyDescent="0.25">
      <c r="D24" s="1595" t="s">
        <v>116</v>
      </c>
      <c r="E24" s="1596"/>
      <c r="F24" s="1596"/>
      <c r="G24" s="1596"/>
      <c r="H24" s="1596"/>
      <c r="I24" s="1596"/>
      <c r="J24" s="1597"/>
      <c r="K24" s="836"/>
      <c r="Q24" s="23" t="s">
        <v>291</v>
      </c>
      <c r="R24" s="23"/>
      <c r="S24" s="1584">
        <f>100%+Навык_потоковая_компрессия_скорость_сканирования</f>
        <v>1.7300000000000002</v>
      </c>
    </row>
    <row r="25" spans="1:22" ht="15" x14ac:dyDescent="0.25">
      <c r="D25" s="64" t="s">
        <v>252</v>
      </c>
      <c r="F25" s="1" t="s">
        <v>153</v>
      </c>
      <c r="G25" s="38">
        <f>IF(J25&gt;0,VLOOKUP(J25,Таблица_навык_использование_брони[],3,0)-(VLOOKUP(J25,Таблица_навык_использование_брони[],3,0)*((C6-10)/100)),0)</f>
        <v>6864600</v>
      </c>
      <c r="H25" s="1" t="s">
        <v>312</v>
      </c>
      <c r="I25" s="1" t="s">
        <v>154</v>
      </c>
      <c r="J25" s="76">
        <v>25</v>
      </c>
      <c r="K25" s="1529"/>
      <c r="Q25" s="1590" t="s">
        <v>292</v>
      </c>
      <c r="R25" s="1590"/>
      <c r="S25" s="33">
        <f>500+Навык_интендант</f>
        <v>800</v>
      </c>
    </row>
    <row r="26" spans="1:22" x14ac:dyDescent="0.25">
      <c r="D26" s="64" t="s">
        <v>253</v>
      </c>
      <c r="F26" s="1" t="s">
        <v>153</v>
      </c>
      <c r="G26" s="38">
        <f>IF(J26&gt;0,VLOOKUP(J26,Таблица_навык_защита[],3,0)-(VLOOKUP(J26,Таблица_навык_защита[],3,0)*((C6-10)/100)),0)</f>
        <v>10177050</v>
      </c>
      <c r="H26" s="1" t="s">
        <v>312</v>
      </c>
      <c r="I26" s="1" t="s">
        <v>154</v>
      </c>
      <c r="J26" s="76">
        <v>25</v>
      </c>
      <c r="K26" s="836"/>
      <c r="Q26" s="1590" t="s">
        <v>293</v>
      </c>
      <c r="R26" s="1590"/>
      <c r="S26" s="33">
        <f>6+Навык_торговец</f>
        <v>21</v>
      </c>
    </row>
    <row r="27" spans="1:22" x14ac:dyDescent="0.25">
      <c r="D27" s="64" t="s">
        <v>254</v>
      </c>
      <c r="F27" s="1" t="s">
        <v>153</v>
      </c>
      <c r="G27" s="38">
        <f>IF(J27&gt;0,VLOOKUP(J27,Таблица_навык_крит._защита[],3,0)-(VLOOKUP(J27,Таблица_навык_крит._защита[],3,0)*((C7-10)/100)),0)</f>
        <v>1028500</v>
      </c>
      <c r="H27" s="1" t="s">
        <v>313</v>
      </c>
      <c r="I27" s="1" t="s">
        <v>154</v>
      </c>
      <c r="J27" s="76">
        <v>15</v>
      </c>
      <c r="K27" s="836"/>
    </row>
    <row r="28" spans="1:22" x14ac:dyDescent="0.25">
      <c r="D28" s="64" t="s">
        <v>255</v>
      </c>
      <c r="F28" s="1" t="s">
        <v>153</v>
      </c>
      <c r="G28" s="38">
        <f>IF(J28&gt;0,VLOOKUP(J28,Таблица_навык_маскировка[],3,0)-(VLOOKUP(J28,Таблица_навык_маскировка[],3,0)*((C4-10)/100)),0)</f>
        <v>11156600</v>
      </c>
      <c r="H28" s="1" t="s">
        <v>308</v>
      </c>
      <c r="I28" s="1" t="s">
        <v>154</v>
      </c>
      <c r="J28" s="76">
        <v>26</v>
      </c>
      <c r="K28" s="836"/>
    </row>
    <row r="29" spans="1:22" x14ac:dyDescent="0.25">
      <c r="D29" s="64" t="s">
        <v>256</v>
      </c>
      <c r="F29" s="1" t="s">
        <v>153</v>
      </c>
      <c r="G29" s="38">
        <f>IF(J29&gt;0,VLOOKUP(J29,Таблица_навык_крит._уклонение[],3,0)-(VLOOKUP(J29,Таблица_навык_крит._уклонение[],3,0)*((C4-10)/100)),0)</f>
        <v>1040200</v>
      </c>
      <c r="H29" s="1" t="s">
        <v>308</v>
      </c>
      <c r="I29" s="1" t="s">
        <v>154</v>
      </c>
      <c r="J29" s="76">
        <v>16</v>
      </c>
      <c r="K29" s="836"/>
    </row>
    <row r="30" spans="1:22" ht="15" customHeight="1" x14ac:dyDescent="0.25">
      <c r="A30" s="47"/>
      <c r="B30" s="47"/>
      <c r="D30" s="64" t="s">
        <v>20</v>
      </c>
      <c r="F30" s="1" t="s">
        <v>153</v>
      </c>
      <c r="G30" s="38">
        <f>IF(J30&gt;0,VLOOKUP(J30,Таблица_навык_ТБ[],3,0)-(VLOOKUP(J30,Таблица_навык_ТБ[],3,0)*((C4-10)/100)),0)</f>
        <v>9039800</v>
      </c>
      <c r="H30" s="1" t="s">
        <v>308</v>
      </c>
      <c r="I30" s="1" t="s">
        <v>154</v>
      </c>
      <c r="J30" s="76">
        <v>32</v>
      </c>
      <c r="K30" s="836"/>
    </row>
    <row r="31" spans="1:22" ht="15" customHeight="1" x14ac:dyDescent="0.25">
      <c r="A31" s="47"/>
      <c r="B31" s="47"/>
      <c r="D31" s="64" t="s">
        <v>257</v>
      </c>
      <c r="F31" s="1" t="s">
        <v>153</v>
      </c>
      <c r="G31" s="38">
        <f>IF(J31&gt;0,VLOOKUP(J31,Таблица_навык_ШБ[],3,0)-(VLOOKUP(J31,Таблица_навык_ШБ[],3,0)*((C2-10)/100)),0)</f>
        <v>0</v>
      </c>
      <c r="H31" s="1" t="s">
        <v>311</v>
      </c>
      <c r="I31" s="1" t="s">
        <v>154</v>
      </c>
      <c r="J31" s="76">
        <v>0</v>
      </c>
      <c r="K31" s="836"/>
    </row>
    <row r="32" spans="1:22" ht="15" customHeight="1" x14ac:dyDescent="0.25">
      <c r="A32" s="47"/>
      <c r="B32" s="47"/>
      <c r="D32" s="64" t="s">
        <v>36</v>
      </c>
      <c r="F32" s="1" t="s">
        <v>153</v>
      </c>
      <c r="G32" s="38">
        <f>IF(J32&gt;0,VLOOKUP(J32,Таблица_навык_УБ[],3,0)-(VLOOKUP(J32,Таблица_навык_УБ[],3,0)*((C2-10)/100)),0)</f>
        <v>27200</v>
      </c>
      <c r="H32" s="1" t="s">
        <v>311</v>
      </c>
      <c r="I32" s="1" t="s">
        <v>154</v>
      </c>
      <c r="J32" s="76">
        <v>3</v>
      </c>
      <c r="K32" s="836"/>
    </row>
    <row r="33" spans="1:11" ht="15" customHeight="1" x14ac:dyDescent="0.25">
      <c r="A33" s="47"/>
      <c r="B33" s="47"/>
      <c r="D33" s="64" t="s">
        <v>258</v>
      </c>
      <c r="F33" s="1" t="s">
        <v>153</v>
      </c>
      <c r="G33" s="38">
        <f>IF(J33&gt;0,VLOOKUP(J33,Таблица_навык_щиты[],3,0)-(VLOOKUP(J33,Таблица_навык_щиты[],3,0)*((C2-10)/100)),0)</f>
        <v>1700</v>
      </c>
      <c r="H33" s="1" t="s">
        <v>311</v>
      </c>
      <c r="I33" s="1" t="s">
        <v>154</v>
      </c>
      <c r="J33" s="76">
        <v>1</v>
      </c>
      <c r="K33" s="836"/>
    </row>
    <row r="34" spans="1:11" ht="15" customHeight="1" x14ac:dyDescent="0.25">
      <c r="D34" s="64" t="s">
        <v>259</v>
      </c>
      <c r="F34" s="1" t="s">
        <v>153</v>
      </c>
      <c r="G34" s="38">
        <f>IF(J34&gt;0,VLOOKUP(J34,Таблица_навык_сопрт._эфф.[],3,0)-(VLOOKUP(J34,Таблица_навык_сопрт._эфф.[],3,0)*((C7-10)/100)),0)</f>
        <v>0</v>
      </c>
      <c r="H34" s="1" t="s">
        <v>313</v>
      </c>
      <c r="I34" s="1" t="s">
        <v>154</v>
      </c>
      <c r="J34" s="76">
        <v>0</v>
      </c>
      <c r="K34" s="836"/>
    </row>
    <row r="35" spans="1:11" ht="15" customHeight="1" x14ac:dyDescent="0.25">
      <c r="D35" s="50"/>
      <c r="E35" s="36" t="s">
        <v>277</v>
      </c>
      <c r="F35" s="36"/>
      <c r="G35" s="39">
        <f>SUM(G25:G34)</f>
        <v>39335650</v>
      </c>
      <c r="H35" s="36"/>
      <c r="I35" s="36"/>
      <c r="J35" s="42"/>
    </row>
    <row r="36" spans="1:11" ht="15" customHeight="1" x14ac:dyDescent="0.25">
      <c r="D36" s="1595" t="s">
        <v>240</v>
      </c>
      <c r="E36" s="1596"/>
      <c r="F36" s="1596"/>
      <c r="G36" s="1596"/>
      <c r="H36" s="1596"/>
      <c r="I36" s="1596"/>
      <c r="J36" s="1597"/>
    </row>
    <row r="37" spans="1:11" ht="15" customHeight="1" x14ac:dyDescent="0.25">
      <c r="D37" s="64" t="s">
        <v>260</v>
      </c>
      <c r="F37" s="1" t="s">
        <v>153</v>
      </c>
      <c r="G37" s="38">
        <f>IF(J37&gt;0,VLOOKUP(J37,Таблица_навык_спринтер[],3,0)-(VLOOKUP(J37,Таблица_навык_спринтер[],3,0)*((C4-10)/100)),0)</f>
        <v>14635600</v>
      </c>
      <c r="H37" s="1" t="s">
        <v>308</v>
      </c>
      <c r="I37" s="1" t="s">
        <v>154</v>
      </c>
      <c r="J37" s="76">
        <v>19</v>
      </c>
    </row>
    <row r="38" spans="1:11" x14ac:dyDescent="0.25">
      <c r="D38" s="64" t="s">
        <v>261</v>
      </c>
      <c r="F38" s="1" t="s">
        <v>153</v>
      </c>
      <c r="G38" s="38">
        <f>IF(J38&gt;0,VLOOKUP(J38,Таблица_навык_первая_помощь[],3,0)-(VLOOKUP(J38,Таблица_навык_первая_помощь[],3,0)*((C6-10)/100)),0)</f>
        <v>824500</v>
      </c>
      <c r="H38" s="1" t="s">
        <v>312</v>
      </c>
      <c r="I38" s="1" t="s">
        <v>154</v>
      </c>
      <c r="J38" s="76">
        <v>19</v>
      </c>
    </row>
    <row r="39" spans="1:11" x14ac:dyDescent="0.25">
      <c r="D39" s="64" t="s">
        <v>262</v>
      </c>
      <c r="F39" s="1" t="s">
        <v>153</v>
      </c>
      <c r="G39" s="38">
        <f>IF(J39&gt;0,VLOOKUP(J39,Таблица_навык_допинг[],3,0)-(VLOOKUP(J39,Таблица_навык_допинг[],3,0)*((C7-10)/100)),0)</f>
        <v>7832750</v>
      </c>
      <c r="H39" s="1" t="s">
        <v>313</v>
      </c>
      <c r="I39" s="1" t="s">
        <v>154</v>
      </c>
      <c r="J39" s="76">
        <v>28</v>
      </c>
    </row>
    <row r="40" spans="1:11" x14ac:dyDescent="0.25">
      <c r="D40" s="64" t="s">
        <v>263</v>
      </c>
      <c r="F40" s="1" t="s">
        <v>153</v>
      </c>
      <c r="G40" s="38">
        <f>IF(J40&gt;0,VLOOKUP(J40,Таблица_навык_крепкое_здоровье[],3,0)-(VLOOKUP(J40,Таблица_навык_крепкое_здоровье[],3,0)*((C6-10)/100)),0)</f>
        <v>11769950</v>
      </c>
      <c r="H40" s="1" t="s">
        <v>312</v>
      </c>
      <c r="I40" s="1" t="s">
        <v>154</v>
      </c>
      <c r="J40" s="76">
        <v>27</v>
      </c>
    </row>
    <row r="41" spans="1:11" x14ac:dyDescent="0.25">
      <c r="D41" s="64" t="s">
        <v>377</v>
      </c>
      <c r="F41" s="1" t="s">
        <v>153</v>
      </c>
      <c r="G41" s="38">
        <f>IF(J41&gt;0,VLOOKUP(J41,Таблица_навык_метаболизм[],3,0)-(VLOOKUP(J41,Таблица_навык_метаболизм[],3,0)*((C6-10)/100)),0)</f>
        <v>0</v>
      </c>
      <c r="H41" s="1" t="s">
        <v>312</v>
      </c>
      <c r="I41" s="1" t="s">
        <v>154</v>
      </c>
      <c r="J41" s="76">
        <v>0</v>
      </c>
    </row>
    <row r="42" spans="1:11" x14ac:dyDescent="0.25">
      <c r="D42" s="50"/>
      <c r="E42" s="36" t="s">
        <v>277</v>
      </c>
      <c r="F42" s="36"/>
      <c r="G42" s="39">
        <f>SUM(G37:G41)</f>
        <v>35062800</v>
      </c>
      <c r="H42" s="36"/>
      <c r="I42" s="36"/>
      <c r="J42" s="42"/>
    </row>
    <row r="43" spans="1:11" x14ac:dyDescent="0.25">
      <c r="D43" s="1595" t="s">
        <v>241</v>
      </c>
      <c r="E43" s="1596"/>
      <c r="F43" s="1596"/>
      <c r="G43" s="1596"/>
      <c r="H43" s="1596"/>
      <c r="I43" s="1596"/>
      <c r="J43" s="1597"/>
    </row>
    <row r="44" spans="1:11" x14ac:dyDescent="0.25">
      <c r="D44" s="64" t="s">
        <v>264</v>
      </c>
      <c r="F44" s="1" t="s">
        <v>153</v>
      </c>
      <c r="G44" s="38">
        <f>IF(J44&gt;0,VLOOKUP(J44,Таблица_навык_следопыт[],3,0)-(VLOOKUP(J44,Таблица_навык_следопыт[],3,0)*((C3-10)/100)),0)</f>
        <v>565750</v>
      </c>
      <c r="H44" s="1" t="s">
        <v>310</v>
      </c>
      <c r="I44" s="1" t="s">
        <v>154</v>
      </c>
      <c r="J44" s="76">
        <v>15</v>
      </c>
    </row>
    <row r="45" spans="1:11" x14ac:dyDescent="0.25">
      <c r="D45" s="64" t="s">
        <v>265</v>
      </c>
      <c r="F45" s="1" t="s">
        <v>153</v>
      </c>
      <c r="G45" s="38">
        <f>IF(J45&gt;0,VLOOKUP(J45,Таблица_навык_скаут[],3,0)-(VLOOKUP(J45,Таблица_навык_скаут[],3,0)*((C6-10)/100)),0)</f>
        <v>658750</v>
      </c>
      <c r="H45" s="1" t="s">
        <v>312</v>
      </c>
      <c r="I45" s="1" t="s">
        <v>154</v>
      </c>
      <c r="J45" s="76">
        <v>15</v>
      </c>
    </row>
    <row r="46" spans="1:11" x14ac:dyDescent="0.25">
      <c r="D46" s="64" t="s">
        <v>266</v>
      </c>
      <c r="F46" s="1" t="s">
        <v>153</v>
      </c>
      <c r="G46" s="38">
        <f>IF(J46&gt;0,VLOOKUP(J46,Таблица_навык_потоковая_компрессия[],3,0)-(VLOOKUP(J46,Таблица_навык_потоковая_компрессия[],3,0)*((C5-10)/100)),0)</f>
        <v>306000</v>
      </c>
      <c r="H46" s="1" t="s">
        <v>309</v>
      </c>
      <c r="I46" s="1" t="s">
        <v>154</v>
      </c>
      <c r="J46" s="76">
        <v>15</v>
      </c>
    </row>
    <row r="47" spans="1:11" x14ac:dyDescent="0.25">
      <c r="D47" s="64" t="s">
        <v>267</v>
      </c>
      <c r="F47" s="1" t="s">
        <v>153</v>
      </c>
      <c r="G47" s="38">
        <f>IF(J47&gt;0,VLOOKUP(J47,Таблица_навык_калибровка[],3,0)-(VLOOKUP(J47,Таблица_навык_калибровка[],3,0)*((C5-10)/100)),0)</f>
        <v>306000</v>
      </c>
      <c r="H47" s="1" t="s">
        <v>309</v>
      </c>
      <c r="I47" s="1" t="s">
        <v>154</v>
      </c>
      <c r="J47" s="76">
        <v>15</v>
      </c>
    </row>
    <row r="48" spans="1:11" x14ac:dyDescent="0.25">
      <c r="D48" s="64" t="s">
        <v>268</v>
      </c>
      <c r="F48" s="1" t="s">
        <v>153</v>
      </c>
      <c r="G48" s="38">
        <f>IF(J48&gt;0,VLOOKUP(J48,Таблица_навык_турист[],3,0)-(VLOOKUP(J48,Таблица_навык_турист[],3,0)*((C2-10)/100)),0)</f>
        <v>658750</v>
      </c>
      <c r="H48" s="1" t="s">
        <v>311</v>
      </c>
      <c r="I48" s="1" t="s">
        <v>154</v>
      </c>
      <c r="J48" s="76">
        <v>15</v>
      </c>
    </row>
    <row r="49" spans="4:10" x14ac:dyDescent="0.25">
      <c r="D49" s="64" t="s">
        <v>269</v>
      </c>
      <c r="F49" s="1" t="s">
        <v>153</v>
      </c>
      <c r="G49" s="38">
        <f>IF(J49&gt;0,VLOOKUP(J49,Таблица_навык_скиталец[],3,0)-(VLOOKUP(J49,Таблица_навык_скиталец[],3,0)*((C3-10)/100)),0)</f>
        <v>565750</v>
      </c>
      <c r="H49" s="1" t="s">
        <v>310</v>
      </c>
      <c r="I49" s="1" t="s">
        <v>154</v>
      </c>
      <c r="J49" s="76">
        <v>15</v>
      </c>
    </row>
    <row r="50" spans="4:10" x14ac:dyDescent="0.25">
      <c r="D50" s="64" t="s">
        <v>319</v>
      </c>
      <c r="F50" s="1" t="s">
        <v>153</v>
      </c>
      <c r="G50" s="38">
        <f>IF(J50&gt;0,VLOOKUP(J50,Таблица_навык_ксенофизиология[],3,0)-(VLOOKUP(J50,Таблица_навык_ксенофизиология[],3,0)*((C3-10)/100)),0)</f>
        <v>5352360</v>
      </c>
      <c r="H50" s="1" t="s">
        <v>310</v>
      </c>
      <c r="I50" s="1" t="s">
        <v>154</v>
      </c>
      <c r="J50" s="76">
        <v>28</v>
      </c>
    </row>
    <row r="51" spans="4:10" x14ac:dyDescent="0.25">
      <c r="D51" s="50"/>
      <c r="E51" s="36" t="s">
        <v>277</v>
      </c>
      <c r="F51" s="36"/>
      <c r="G51" s="39">
        <f>SUM(G44:G50)</f>
        <v>8413360</v>
      </c>
      <c r="H51" s="36"/>
      <c r="I51" s="36"/>
      <c r="J51" s="42"/>
    </row>
    <row r="52" spans="4:10" x14ac:dyDescent="0.25">
      <c r="D52" s="1595" t="s">
        <v>161</v>
      </c>
      <c r="E52" s="1596"/>
      <c r="F52" s="1596"/>
      <c r="G52" s="1596"/>
      <c r="H52" s="1596"/>
      <c r="I52" s="1596"/>
      <c r="J52" s="1597"/>
    </row>
    <row r="53" spans="4:10" x14ac:dyDescent="0.25">
      <c r="D53" s="64" t="s">
        <v>162</v>
      </c>
      <c r="F53" s="1" t="s">
        <v>153</v>
      </c>
      <c r="G53" s="38">
        <f>IF(J53&gt;0,VLOOKUP(J53,Таблица_навык_переработка[],3,0)-(VLOOKUP(J53,Таблица_навык_переработка[],3,0)*((C5-10)/100)),0)</f>
        <v>510000</v>
      </c>
      <c r="H53" s="1" t="s">
        <v>309</v>
      </c>
      <c r="I53" s="1" t="s">
        <v>154</v>
      </c>
      <c r="J53" s="76">
        <v>10</v>
      </c>
    </row>
    <row r="54" spans="4:10" x14ac:dyDescent="0.25">
      <c r="D54" s="64" t="s">
        <v>270</v>
      </c>
      <c r="F54" s="1" t="s">
        <v>153</v>
      </c>
      <c r="G54" s="38">
        <f>IF(J54&gt;0,VLOOKUP(J54,Таблица_навык_эфф._производства[],3,0)-(VLOOKUP(J54,Таблица_навык_эфф._производства[],3,0)*((C5-10)/100)),0)</f>
        <v>510000</v>
      </c>
      <c r="H54" s="1" t="s">
        <v>309</v>
      </c>
      <c r="I54" s="1" t="s">
        <v>154</v>
      </c>
      <c r="J54" s="76">
        <v>10</v>
      </c>
    </row>
    <row r="55" spans="4:10" x14ac:dyDescent="0.25">
      <c r="D55" s="64" t="s">
        <v>164</v>
      </c>
      <c r="F55" s="1" t="s">
        <v>153</v>
      </c>
      <c r="G55" s="38">
        <f>IF(J55&gt;0,VLOOKUP(J55,Таблица_навык_интендант[],3,0)-(VLOOKUP(J55,Таблица_навык_интендант[],3,0)*((C5-10)/100)),0)</f>
        <v>561000</v>
      </c>
      <c r="H55" s="1" t="s">
        <v>309</v>
      </c>
      <c r="I55" s="1" t="s">
        <v>154</v>
      </c>
      <c r="J55" s="76">
        <v>15</v>
      </c>
    </row>
    <row r="56" spans="4:10" x14ac:dyDescent="0.25">
      <c r="D56" s="64" t="s">
        <v>271</v>
      </c>
      <c r="F56" s="1" t="s">
        <v>153</v>
      </c>
      <c r="G56" s="38">
        <f>IF(J56&gt;0,VLOOKUP(J56,Таблица_навык_торговец[],3,0)-(VLOOKUP(J56,Таблица_навык_торговец[],3,0)*((C5-10)/100)),0)</f>
        <v>561000</v>
      </c>
      <c r="H56" s="1" t="s">
        <v>309</v>
      </c>
      <c r="I56" s="1" t="s">
        <v>154</v>
      </c>
      <c r="J56" s="76">
        <v>15</v>
      </c>
    </row>
    <row r="57" spans="4:10" x14ac:dyDescent="0.25">
      <c r="D57" s="64" t="s">
        <v>161</v>
      </c>
      <c r="F57" s="1" t="s">
        <v>153</v>
      </c>
      <c r="G57" s="38">
        <f>IF(J57&gt;0,VLOOKUP(J57,Таблица_навык_производство[],3,0)-(VLOOKUP(J57,Таблица_навык_производство[],3,0)*((C5-10)/100)),0)</f>
        <v>5536050</v>
      </c>
      <c r="H57" s="1" t="s">
        <v>309</v>
      </c>
      <c r="I57" s="1" t="s">
        <v>154</v>
      </c>
      <c r="J57" s="76">
        <v>20</v>
      </c>
    </row>
    <row r="58" spans="4:10" x14ac:dyDescent="0.25">
      <c r="D58" s="50"/>
      <c r="E58" s="36" t="s">
        <v>277</v>
      </c>
      <c r="F58" s="36"/>
      <c r="G58" s="39">
        <f>SUM(G53:G57)</f>
        <v>7678050</v>
      </c>
      <c r="H58" s="36"/>
      <c r="I58" s="36"/>
      <c r="J58" s="42"/>
    </row>
    <row r="59" spans="4:10" x14ac:dyDescent="0.25">
      <c r="D59" s="1595" t="s">
        <v>242</v>
      </c>
      <c r="E59" s="1596"/>
      <c r="F59" s="1596"/>
      <c r="G59" s="1596"/>
      <c r="H59" s="1596"/>
      <c r="I59" s="1596"/>
      <c r="J59" s="1597"/>
    </row>
    <row r="60" spans="4:10" x14ac:dyDescent="0.25">
      <c r="D60" s="62" t="s">
        <v>272</v>
      </c>
      <c r="E60" s="63"/>
      <c r="F60" s="1" t="s">
        <v>153</v>
      </c>
      <c r="G60" s="38">
        <f>IF(J60&gt;0,VLOOKUP(J60,Таблица_навык_стрелок[],3,0)-(VLOOKUP(J60,Таблица_навык_стрелок[],3,0)*((C7-10)/100)),0)</f>
        <v>0</v>
      </c>
      <c r="H60" s="63" t="s">
        <v>313</v>
      </c>
      <c r="I60" s="63" t="s">
        <v>154</v>
      </c>
      <c r="J60" s="78">
        <v>0</v>
      </c>
    </row>
    <row r="61" spans="4:10" x14ac:dyDescent="0.25">
      <c r="D61" s="64" t="s">
        <v>273</v>
      </c>
      <c r="F61" s="1" t="s">
        <v>153</v>
      </c>
      <c r="G61" s="38">
        <f>IF(J61&gt;0,VLOOKUP(J61,Таблица_навык_защитник[],3,0)-(VLOOKUP(J61,Таблица_навык_защитник[],3,0)*((C7-10)/100)),0)</f>
        <v>0</v>
      </c>
      <c r="H61" s="1" t="s">
        <v>313</v>
      </c>
      <c r="I61" s="1" t="s">
        <v>154</v>
      </c>
      <c r="J61" s="76">
        <v>0</v>
      </c>
    </row>
    <row r="62" spans="4:10" x14ac:dyDescent="0.25">
      <c r="D62" s="67" t="s">
        <v>274</v>
      </c>
      <c r="E62" s="54"/>
      <c r="F62" s="54" t="s">
        <v>153</v>
      </c>
      <c r="G62" s="38">
        <f>IF(J62&gt;0,VLOOKUP(J62,Таблица_навык_охотник[],3,0)-(VLOOKUP(J62,Таблица_навык_охотник[],3,0)*((C7-10)/100)),0)</f>
        <v>0</v>
      </c>
      <c r="H62" s="54" t="s">
        <v>313</v>
      </c>
      <c r="I62" s="54" t="s">
        <v>154</v>
      </c>
      <c r="J62" s="77">
        <v>0</v>
      </c>
    </row>
    <row r="63" spans="4:10" x14ac:dyDescent="0.25">
      <c r="D63" s="41"/>
      <c r="E63" s="54" t="s">
        <v>277</v>
      </c>
      <c r="F63" s="36"/>
      <c r="G63" s="39">
        <f>SUM(G60:G62)</f>
        <v>0</v>
      </c>
      <c r="H63" s="36"/>
      <c r="I63" s="36"/>
      <c r="J63" s="42"/>
    </row>
  </sheetData>
  <sheetProtection formatCells="0" selectLockedCells="1"/>
  <dataConsolidate/>
  <mergeCells count="52">
    <mergeCell ref="O18:P18"/>
    <mergeCell ref="M16:N16"/>
    <mergeCell ref="N9:O9"/>
    <mergeCell ref="N10:O10"/>
    <mergeCell ref="M21:N21"/>
    <mergeCell ref="M18:N18"/>
    <mergeCell ref="M19:N19"/>
    <mergeCell ref="M20:N20"/>
    <mergeCell ref="M14:N14"/>
    <mergeCell ref="O14:P14"/>
    <mergeCell ref="Q6:R6"/>
    <mergeCell ref="A1:C1"/>
    <mergeCell ref="E1:F1"/>
    <mergeCell ref="D2:J2"/>
    <mergeCell ref="P2:S2"/>
    <mergeCell ref="M1:O1"/>
    <mergeCell ref="K2:O2"/>
    <mergeCell ref="K3:O3"/>
    <mergeCell ref="K4:O4"/>
    <mergeCell ref="P4:S4"/>
    <mergeCell ref="K1:L1"/>
    <mergeCell ref="P3:S3"/>
    <mergeCell ref="I1:J1"/>
    <mergeCell ref="G1:H1"/>
    <mergeCell ref="A9:B9"/>
    <mergeCell ref="Q25:R25"/>
    <mergeCell ref="Q26:R26"/>
    <mergeCell ref="D10:J10"/>
    <mergeCell ref="Q20:S20"/>
    <mergeCell ref="A14:B14"/>
    <mergeCell ref="Q21:R21"/>
    <mergeCell ref="Q22:R22"/>
    <mergeCell ref="Q23:R23"/>
    <mergeCell ref="M17:N17"/>
    <mergeCell ref="O16:P16"/>
    <mergeCell ref="Q14:R14"/>
    <mergeCell ref="N11:O11"/>
    <mergeCell ref="Q18:R18"/>
    <mergeCell ref="Q15:R15"/>
    <mergeCell ref="O17:P17"/>
    <mergeCell ref="D23:E23"/>
    <mergeCell ref="D59:J59"/>
    <mergeCell ref="D43:J43"/>
    <mergeCell ref="D36:J36"/>
    <mergeCell ref="D24:J24"/>
    <mergeCell ref="D52:J52"/>
    <mergeCell ref="Q7:R7"/>
    <mergeCell ref="Q9:R9"/>
    <mergeCell ref="Q10:R10"/>
    <mergeCell ref="Q11:R11"/>
    <mergeCell ref="Q12:R12"/>
    <mergeCell ref="Q8:R8"/>
  </mergeCells>
  <conditionalFormatting sqref="K16">
    <cfRule type="cellIs" dxfId="1207" priority="27" operator="greaterThan">
      <formula>$J$16</formula>
    </cfRule>
  </conditionalFormatting>
  <conditionalFormatting sqref="K17">
    <cfRule type="cellIs" dxfId="1206" priority="26" operator="greaterThan">
      <formula>$J$17</formula>
    </cfRule>
  </conditionalFormatting>
  <conditionalFormatting sqref="K19">
    <cfRule type="cellIs" dxfId="1205" priority="24" operator="greaterThan">
      <formula>$J$19</formula>
    </cfRule>
  </conditionalFormatting>
  <conditionalFormatting sqref="K11">
    <cfRule type="cellIs" dxfId="1204" priority="21" operator="greaterThan">
      <formula>$J$11</formula>
    </cfRule>
    <cfRule type="cellIs" dxfId="1203" priority="22" operator="greaterThan">
      <formula>$J$11</formula>
    </cfRule>
  </conditionalFormatting>
  <conditionalFormatting sqref="K12">
    <cfRule type="cellIs" dxfId="1202" priority="20" operator="greaterThan">
      <formula>$J$12</formula>
    </cfRule>
  </conditionalFormatting>
  <conditionalFormatting sqref="K14">
    <cfRule type="cellIs" dxfId="1201" priority="18" operator="greaterThan">
      <formula>$J$14</formula>
    </cfRule>
    <cfRule type="cellIs" dxfId="1200" priority="19" operator="greaterThan">
      <formula>$J$12</formula>
    </cfRule>
  </conditionalFormatting>
  <conditionalFormatting sqref="K30">
    <cfRule type="cellIs" dxfId="1199" priority="17" operator="greaterThan">
      <formula>$J$30</formula>
    </cfRule>
  </conditionalFormatting>
  <conditionalFormatting sqref="K31">
    <cfRule type="cellIs" dxfId="1198" priority="16" operator="greaterThan">
      <formula>$J$31</formula>
    </cfRule>
  </conditionalFormatting>
  <conditionalFormatting sqref="K32">
    <cfRule type="cellIs" dxfId="1197" priority="15" operator="greaterThan">
      <formula>$J$32</formula>
    </cfRule>
  </conditionalFormatting>
  <conditionalFormatting sqref="K25">
    <cfRule type="cellIs" dxfId="1196" priority="14" operator="greaterThan">
      <formula>$J$25</formula>
    </cfRule>
  </conditionalFormatting>
  <conditionalFormatting sqref="K26">
    <cfRule type="cellIs" dxfId="1195" priority="13" operator="greaterThan">
      <formula>$J$26</formula>
    </cfRule>
  </conditionalFormatting>
  <conditionalFormatting sqref="K28">
    <cfRule type="cellIs" dxfId="1194" priority="12" operator="greaterThan">
      <formula>$J$28</formula>
    </cfRule>
  </conditionalFormatting>
  <conditionalFormatting sqref="K38">
    <cfRule type="cellIs" dxfId="1193" priority="11" operator="greaterThan">
      <formula>$J$38</formula>
    </cfRule>
  </conditionalFormatting>
  <conditionalFormatting sqref="K40">
    <cfRule type="cellIs" dxfId="1192" priority="10" operator="greaterThan">
      <formula>$J$40</formula>
    </cfRule>
  </conditionalFormatting>
  <conditionalFormatting sqref="K18">
    <cfRule type="cellIs" dxfId="1191" priority="3" operator="greaterThan">
      <formula>$J$18</formula>
    </cfRule>
  </conditionalFormatting>
  <pageMargins left="0.25" right="0.25" top="0.75" bottom="0.75" header="0.3" footer="0.3"/>
  <pageSetup paperSize="9" scale="65" fitToHeight="0" orientation="landscape" r:id="rId1"/>
  <legacy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1"/>
  <dimension ref="A1:Q206"/>
  <sheetViews>
    <sheetView topLeftCell="A163" workbookViewId="0">
      <selection activeCell="J199" sqref="J199"/>
    </sheetView>
  </sheetViews>
  <sheetFormatPr defaultRowHeight="15" x14ac:dyDescent="0.25"/>
  <cols>
    <col min="1" max="1" width="10.7109375" style="43" customWidth="1"/>
    <col min="2" max="2" width="11.28515625" style="43" customWidth="1"/>
    <col min="3" max="3" width="9.140625" style="43"/>
    <col min="4" max="4" width="18.5703125" style="43" customWidth="1"/>
    <col min="5" max="5" width="9.140625" style="43"/>
    <col min="6" max="6" width="13" style="43" customWidth="1"/>
    <col min="7" max="7" width="9.140625" style="43"/>
    <col min="8" max="8" width="12.7109375" style="43" customWidth="1"/>
    <col min="9" max="16384" width="9.140625" style="43"/>
  </cols>
  <sheetData>
    <row r="1" spans="1:17" s="44" customFormat="1" x14ac:dyDescent="0.25">
      <c r="A1" s="1328" t="s">
        <v>414</v>
      </c>
      <c r="B1" s="1378" t="s">
        <v>69</v>
      </c>
      <c r="C1" s="83" t="s">
        <v>808</v>
      </c>
      <c r="D1" s="1378" t="s">
        <v>817</v>
      </c>
      <c r="E1" s="83" t="s">
        <v>864</v>
      </c>
      <c r="F1" s="1378" t="s">
        <v>818</v>
      </c>
      <c r="G1" s="83" t="s">
        <v>865</v>
      </c>
      <c r="H1" s="1378" t="s">
        <v>70</v>
      </c>
      <c r="I1" s="83" t="s">
        <v>866</v>
      </c>
      <c r="J1" s="1378" t="s">
        <v>71</v>
      </c>
      <c r="K1" s="83" t="s">
        <v>867</v>
      </c>
    </row>
    <row r="2" spans="1:17" x14ac:dyDescent="0.25">
      <c r="A2" s="43">
        <v>0</v>
      </c>
      <c r="B2" s="1376"/>
      <c r="C2" s="1372">
        <f t="shared" ref="C2" si="0">B2</f>
        <v>0</v>
      </c>
      <c r="D2" s="1372"/>
      <c r="E2" s="1372">
        <f>D2</f>
        <v>0</v>
      </c>
      <c r="F2" s="1372"/>
      <c r="G2" s="1372">
        <f>F2</f>
        <v>0</v>
      </c>
      <c r="H2" s="1372"/>
      <c r="I2" s="1372">
        <f>H2</f>
        <v>0</v>
      </c>
      <c r="J2" s="1372"/>
      <c r="K2" s="1372">
        <f>J2</f>
        <v>0</v>
      </c>
    </row>
    <row r="3" spans="1:17" x14ac:dyDescent="0.25">
      <c r="A3" s="43">
        <v>1</v>
      </c>
      <c r="B3" s="1376"/>
      <c r="C3" s="1372">
        <f>B3+C2</f>
        <v>0</v>
      </c>
      <c r="D3" s="1372"/>
      <c r="E3" s="1372">
        <f t="shared" ref="E3:E5" si="1">D3+E2</f>
        <v>0</v>
      </c>
      <c r="F3" s="1372"/>
      <c r="G3" s="1372">
        <f t="shared" ref="G3:G5" si="2">F3+G2</f>
        <v>0</v>
      </c>
      <c r="H3" s="1372"/>
      <c r="I3" s="1372">
        <f t="shared" ref="I3:I6" si="3">H3+I2</f>
        <v>0</v>
      </c>
      <c r="J3" s="1372"/>
      <c r="K3" s="1372">
        <f t="shared" ref="K3:K7" si="4">J3+K2</f>
        <v>0</v>
      </c>
    </row>
    <row r="4" spans="1:17" x14ac:dyDescent="0.25">
      <c r="A4" s="43">
        <v>2</v>
      </c>
      <c r="B4" s="1372">
        <v>0.05</v>
      </c>
      <c r="C4" s="1372">
        <f t="shared" ref="C4:C8" si="5">B4+C3</f>
        <v>0.05</v>
      </c>
      <c r="D4" s="1372"/>
      <c r="E4" s="1372">
        <f t="shared" si="1"/>
        <v>0</v>
      </c>
      <c r="F4" s="1372"/>
      <c r="G4" s="1372">
        <f t="shared" si="2"/>
        <v>0</v>
      </c>
      <c r="H4" s="1372"/>
      <c r="I4" s="1372">
        <f t="shared" si="3"/>
        <v>0</v>
      </c>
      <c r="J4" s="1372"/>
      <c r="K4" s="1372">
        <f t="shared" si="4"/>
        <v>0</v>
      </c>
    </row>
    <row r="5" spans="1:17" x14ac:dyDescent="0.25">
      <c r="A5" s="43">
        <v>3</v>
      </c>
      <c r="C5" s="1372">
        <f t="shared" si="5"/>
        <v>0.05</v>
      </c>
      <c r="D5" s="1372">
        <v>0.1</v>
      </c>
      <c r="E5" s="1372">
        <f t="shared" si="1"/>
        <v>0.1</v>
      </c>
      <c r="G5" s="1372">
        <f t="shared" si="2"/>
        <v>0</v>
      </c>
      <c r="I5" s="1372">
        <f t="shared" si="3"/>
        <v>0</v>
      </c>
      <c r="K5" s="1372">
        <f t="shared" si="4"/>
        <v>0</v>
      </c>
    </row>
    <row r="6" spans="1:17" x14ac:dyDescent="0.25">
      <c r="A6" s="43">
        <v>4</v>
      </c>
      <c r="C6" s="1372">
        <f t="shared" si="5"/>
        <v>0.05</v>
      </c>
      <c r="E6" s="1372">
        <f t="shared" ref="E6:E8" si="6">D6+E5</f>
        <v>0.1</v>
      </c>
      <c r="F6" s="1372">
        <v>0.1</v>
      </c>
      <c r="G6" s="1372">
        <f t="shared" ref="G6:G8" si="7">F6+G5</f>
        <v>0.1</v>
      </c>
      <c r="I6" s="1372">
        <f t="shared" si="3"/>
        <v>0</v>
      </c>
      <c r="K6" s="1372">
        <f t="shared" si="4"/>
        <v>0</v>
      </c>
    </row>
    <row r="7" spans="1:17" x14ac:dyDescent="0.25">
      <c r="A7" s="43">
        <v>5</v>
      </c>
      <c r="C7" s="1372">
        <f t="shared" si="5"/>
        <v>0.05</v>
      </c>
      <c r="E7" s="1372">
        <f t="shared" si="6"/>
        <v>0.1</v>
      </c>
      <c r="G7" s="1372">
        <f t="shared" si="7"/>
        <v>0.1</v>
      </c>
      <c r="H7" s="1372">
        <v>0.04</v>
      </c>
      <c r="I7" s="1372">
        <f t="shared" ref="I7:I8" si="8">H7+I6</f>
        <v>0.04</v>
      </c>
      <c r="K7" s="1372">
        <f t="shared" si="4"/>
        <v>0</v>
      </c>
    </row>
    <row r="8" spans="1:17" ht="15.75" thickBot="1" x14ac:dyDescent="0.3">
      <c r="A8" s="43">
        <v>6</v>
      </c>
      <c r="C8" s="1372">
        <f t="shared" si="5"/>
        <v>0.05</v>
      </c>
      <c r="E8" s="1372">
        <f t="shared" si="6"/>
        <v>0.1</v>
      </c>
      <c r="G8" s="1372">
        <f t="shared" si="7"/>
        <v>0.1</v>
      </c>
      <c r="I8" s="1372">
        <f t="shared" si="8"/>
        <v>0.04</v>
      </c>
      <c r="J8" s="1372">
        <v>7.0000000000000007E-2</v>
      </c>
      <c r="K8" s="1372">
        <f t="shared" ref="K8" si="9">J8+K7</f>
        <v>7.0000000000000007E-2</v>
      </c>
      <c r="L8" s="44"/>
    </row>
    <row r="9" spans="1:17" ht="15.75" thickBot="1" x14ac:dyDescent="0.3">
      <c r="A9" s="1374"/>
      <c r="B9" s="1374"/>
      <c r="C9" s="1374"/>
      <c r="D9" s="1374"/>
      <c r="E9" s="1374"/>
      <c r="F9" s="1374"/>
      <c r="G9" s="1374"/>
      <c r="H9" s="1374"/>
      <c r="I9" s="1374"/>
      <c r="J9" s="1374"/>
      <c r="K9" s="1374"/>
      <c r="M9" s="43">
        <f t="shared" ref="M9:Q9" si="10">L9+M8</f>
        <v>0</v>
      </c>
      <c r="O9" s="43">
        <f t="shared" si="10"/>
        <v>0</v>
      </c>
      <c r="Q9" s="43">
        <f t="shared" si="10"/>
        <v>0</v>
      </c>
    </row>
    <row r="10" spans="1:17" x14ac:dyDescent="0.25">
      <c r="A10" s="1328" t="s">
        <v>427</v>
      </c>
      <c r="B10" s="1378" t="s">
        <v>827</v>
      </c>
      <c r="C10" s="83" t="s">
        <v>808</v>
      </c>
      <c r="D10" s="1378" t="s">
        <v>828</v>
      </c>
      <c r="E10" s="83" t="s">
        <v>808</v>
      </c>
      <c r="F10" s="1378" t="s">
        <v>829</v>
      </c>
      <c r="G10" s="83" t="s">
        <v>808</v>
      </c>
      <c r="H10" s="1378" t="s">
        <v>422</v>
      </c>
      <c r="I10" s="83" t="s">
        <v>808</v>
      </c>
      <c r="J10" s="1378" t="s">
        <v>830</v>
      </c>
      <c r="K10" s="83" t="s">
        <v>808</v>
      </c>
    </row>
    <row r="11" spans="1:17" x14ac:dyDescent="0.25">
      <c r="A11" s="43">
        <v>0</v>
      </c>
      <c r="B11" s="1376"/>
      <c r="C11" s="1372">
        <v>0</v>
      </c>
      <c r="D11" s="1372"/>
      <c r="E11" s="1372">
        <f>D11</f>
        <v>0</v>
      </c>
      <c r="F11" s="1372"/>
      <c r="G11" s="1372">
        <f>F11</f>
        <v>0</v>
      </c>
      <c r="H11" s="1372"/>
      <c r="I11" s="1372">
        <f>H11</f>
        <v>0</v>
      </c>
      <c r="J11" s="1372"/>
      <c r="K11" s="1372">
        <f>J11</f>
        <v>0</v>
      </c>
    </row>
    <row r="12" spans="1:17" x14ac:dyDescent="0.25">
      <c r="A12" s="43">
        <v>1</v>
      </c>
      <c r="B12" s="1376"/>
      <c r="C12" s="1372">
        <f t="shared" ref="C12:C13" si="11">B12+C11</f>
        <v>0</v>
      </c>
      <c r="D12" s="1372"/>
      <c r="E12" s="1372">
        <f t="shared" ref="E12" si="12">D12+E11</f>
        <v>0</v>
      </c>
      <c r="F12" s="1372"/>
      <c r="G12" s="1372">
        <f t="shared" ref="G12" si="13">F12+G11</f>
        <v>0</v>
      </c>
      <c r="H12" s="1372"/>
      <c r="I12" s="1372">
        <f t="shared" ref="I12" si="14">H12+I11</f>
        <v>0</v>
      </c>
      <c r="J12" s="1372"/>
      <c r="K12" s="1372">
        <f t="shared" ref="K12" si="15">J12+K11</f>
        <v>0</v>
      </c>
    </row>
    <row r="13" spans="1:17" x14ac:dyDescent="0.25">
      <c r="A13" s="43">
        <v>2</v>
      </c>
      <c r="B13" s="1372">
        <v>0.05</v>
      </c>
      <c r="C13" s="1372">
        <f t="shared" si="11"/>
        <v>0.05</v>
      </c>
      <c r="D13" s="1372"/>
      <c r="E13" s="1372">
        <f t="shared" ref="E13:K17" si="16">D13+E12</f>
        <v>0</v>
      </c>
      <c r="F13" s="1372"/>
      <c r="G13" s="1372">
        <f t="shared" ref="G13:K13" si="17">F13</f>
        <v>0</v>
      </c>
      <c r="H13" s="1372"/>
      <c r="I13" s="1372">
        <f t="shared" si="17"/>
        <v>0</v>
      </c>
      <c r="J13" s="1376"/>
      <c r="K13" s="1376">
        <f t="shared" si="17"/>
        <v>0</v>
      </c>
    </row>
    <row r="14" spans="1:17" x14ac:dyDescent="0.25">
      <c r="A14" s="43">
        <v>3</v>
      </c>
      <c r="B14" s="1372"/>
      <c r="C14" s="1372">
        <f>B14+C13</f>
        <v>0.05</v>
      </c>
      <c r="D14" s="1372">
        <v>0.05</v>
      </c>
      <c r="E14" s="1372">
        <f t="shared" si="16"/>
        <v>0.05</v>
      </c>
      <c r="F14" s="1372"/>
      <c r="G14" s="1372">
        <f t="shared" si="16"/>
        <v>0</v>
      </c>
      <c r="H14" s="1372"/>
      <c r="I14" s="1372">
        <f t="shared" si="16"/>
        <v>0</v>
      </c>
      <c r="J14" s="1376"/>
      <c r="K14" s="1376">
        <f t="shared" si="16"/>
        <v>0</v>
      </c>
    </row>
    <row r="15" spans="1:17" s="44" customFormat="1" x14ac:dyDescent="0.25">
      <c r="A15" s="43">
        <v>4</v>
      </c>
      <c r="B15" s="1372"/>
      <c r="C15" s="1372">
        <f t="shared" ref="C15:C17" si="18">B15+C14</f>
        <v>0.05</v>
      </c>
      <c r="D15" s="1372"/>
      <c r="E15" s="1372">
        <f t="shared" si="16"/>
        <v>0.05</v>
      </c>
      <c r="F15" s="1372">
        <v>0.05</v>
      </c>
      <c r="G15" s="1372">
        <f t="shared" si="16"/>
        <v>0.05</v>
      </c>
      <c r="H15" s="1372"/>
      <c r="I15" s="1372">
        <f t="shared" si="16"/>
        <v>0</v>
      </c>
      <c r="J15" s="1376"/>
      <c r="K15" s="1376">
        <f t="shared" si="16"/>
        <v>0</v>
      </c>
    </row>
    <row r="16" spans="1:17" x14ac:dyDescent="0.25">
      <c r="A16" s="43">
        <v>5</v>
      </c>
      <c r="B16" s="1372"/>
      <c r="C16" s="1372">
        <f t="shared" si="18"/>
        <v>0.05</v>
      </c>
      <c r="D16" s="1372"/>
      <c r="E16" s="1372">
        <f t="shared" si="16"/>
        <v>0.05</v>
      </c>
      <c r="F16" s="1372"/>
      <c r="G16" s="1372">
        <f t="shared" si="16"/>
        <v>0.05</v>
      </c>
      <c r="H16" s="1372">
        <v>0.05</v>
      </c>
      <c r="I16" s="1372">
        <f t="shared" si="16"/>
        <v>0.05</v>
      </c>
      <c r="J16" s="1376"/>
      <c r="K16" s="1376">
        <f t="shared" si="16"/>
        <v>0</v>
      </c>
    </row>
    <row r="17" spans="1:11" ht="15.75" thickBot="1" x14ac:dyDescent="0.3">
      <c r="A17" s="43">
        <v>6</v>
      </c>
      <c r="B17" s="1372"/>
      <c r="C17" s="1372">
        <f t="shared" si="18"/>
        <v>0.05</v>
      </c>
      <c r="D17" s="1372"/>
      <c r="E17" s="1372">
        <f t="shared" si="16"/>
        <v>0.05</v>
      </c>
      <c r="F17" s="1372"/>
      <c r="G17" s="1372">
        <f t="shared" si="16"/>
        <v>0.05</v>
      </c>
      <c r="H17" s="1372"/>
      <c r="I17" s="1372">
        <f t="shared" si="16"/>
        <v>0.05</v>
      </c>
      <c r="J17" s="1376">
        <v>-1</v>
      </c>
      <c r="K17" s="1376">
        <f t="shared" si="16"/>
        <v>-1</v>
      </c>
    </row>
    <row r="18" spans="1:11" ht="15.75" thickBot="1" x14ac:dyDescent="0.3">
      <c r="A18" s="1374"/>
      <c r="B18" s="1374"/>
      <c r="C18" s="1374"/>
      <c r="D18" s="1374"/>
      <c r="E18" s="1374"/>
      <c r="F18" s="1374"/>
      <c r="G18" s="1374"/>
      <c r="H18" s="1374"/>
      <c r="I18" s="1374"/>
      <c r="J18" s="1374"/>
      <c r="K18" s="1374"/>
    </row>
    <row r="19" spans="1:11" x14ac:dyDescent="0.25">
      <c r="A19" s="1328" t="s">
        <v>411</v>
      </c>
      <c r="B19" s="1378" t="s">
        <v>255</v>
      </c>
      <c r="C19" s="83" t="s">
        <v>808</v>
      </c>
      <c r="D19" s="1378" t="s">
        <v>724</v>
      </c>
      <c r="E19" s="83" t="s">
        <v>808</v>
      </c>
      <c r="F19" s="1378" t="s">
        <v>399</v>
      </c>
      <c r="G19" s="83" t="s">
        <v>808</v>
      </c>
      <c r="H19" s="1378" t="s">
        <v>436</v>
      </c>
      <c r="I19" s="83" t="s">
        <v>808</v>
      </c>
      <c r="J19" s="1378" t="s">
        <v>253</v>
      </c>
      <c r="K19" s="83" t="s">
        <v>808</v>
      </c>
    </row>
    <row r="20" spans="1:11" x14ac:dyDescent="0.25">
      <c r="A20" s="43">
        <v>0</v>
      </c>
      <c r="B20" s="1376"/>
      <c r="C20" s="1372">
        <f t="shared" ref="C20" si="19">B20</f>
        <v>0</v>
      </c>
      <c r="D20" s="1372"/>
      <c r="E20" s="1372">
        <f>D20</f>
        <v>0</v>
      </c>
      <c r="F20" s="1372"/>
      <c r="G20" s="1372">
        <f>F20</f>
        <v>0</v>
      </c>
      <c r="H20" s="1372"/>
      <c r="I20" s="1372">
        <f>H20</f>
        <v>0</v>
      </c>
      <c r="J20" s="1372"/>
      <c r="K20" s="1372">
        <f>J20</f>
        <v>0</v>
      </c>
    </row>
    <row r="21" spans="1:11" x14ac:dyDescent="0.25">
      <c r="A21" s="43">
        <v>1</v>
      </c>
      <c r="B21" s="1376"/>
      <c r="C21" s="43">
        <f t="shared" ref="C21:C26" si="20">B21+C20</f>
        <v>0</v>
      </c>
      <c r="D21" s="1372"/>
      <c r="E21" s="1372">
        <f t="shared" ref="E21" si="21">D21+E20</f>
        <v>0</v>
      </c>
      <c r="F21" s="1372"/>
      <c r="G21" s="1372">
        <f t="shared" ref="G21" si="22">F21+G20</f>
        <v>0</v>
      </c>
      <c r="H21" s="1372"/>
      <c r="I21" s="1372">
        <f t="shared" ref="I21" si="23">H21+I20</f>
        <v>0</v>
      </c>
      <c r="J21" s="1372"/>
      <c r="K21" s="1372">
        <f t="shared" ref="K21" si="24">J21+K20</f>
        <v>0</v>
      </c>
    </row>
    <row r="22" spans="1:11" s="44" customFormat="1" x14ac:dyDescent="0.25">
      <c r="A22" s="43">
        <v>2</v>
      </c>
      <c r="B22" s="43">
        <v>20</v>
      </c>
      <c r="C22" s="43">
        <f t="shared" si="20"/>
        <v>20</v>
      </c>
      <c r="D22" s="43"/>
      <c r="E22" s="43">
        <f t="shared" ref="E22:K26" si="25">D22+E21</f>
        <v>0</v>
      </c>
      <c r="F22" s="43"/>
      <c r="G22" s="43">
        <f t="shared" ref="G22:K22" si="26">F22</f>
        <v>0</v>
      </c>
      <c r="H22" s="43"/>
      <c r="I22" s="43">
        <f t="shared" si="26"/>
        <v>0</v>
      </c>
      <c r="J22" s="1372"/>
      <c r="K22" s="1372">
        <f t="shared" si="26"/>
        <v>0</v>
      </c>
    </row>
    <row r="23" spans="1:11" x14ac:dyDescent="0.25">
      <c r="A23" s="43">
        <v>3</v>
      </c>
      <c r="C23" s="43">
        <f t="shared" si="20"/>
        <v>20</v>
      </c>
      <c r="D23" s="43">
        <v>30</v>
      </c>
      <c r="E23" s="43">
        <f t="shared" si="25"/>
        <v>30</v>
      </c>
      <c r="G23" s="43">
        <f t="shared" si="25"/>
        <v>0</v>
      </c>
      <c r="I23" s="43">
        <f t="shared" si="25"/>
        <v>0</v>
      </c>
      <c r="J23" s="1372"/>
      <c r="K23" s="1372">
        <f t="shared" si="25"/>
        <v>0</v>
      </c>
    </row>
    <row r="24" spans="1:11" x14ac:dyDescent="0.25">
      <c r="A24" s="43">
        <v>4</v>
      </c>
      <c r="C24" s="43">
        <f t="shared" si="20"/>
        <v>20</v>
      </c>
      <c r="E24" s="43">
        <f t="shared" si="25"/>
        <v>30</v>
      </c>
      <c r="F24" s="43">
        <v>20</v>
      </c>
      <c r="G24" s="43">
        <f t="shared" si="25"/>
        <v>20</v>
      </c>
      <c r="I24" s="43">
        <f t="shared" si="25"/>
        <v>0</v>
      </c>
      <c r="J24" s="1372"/>
      <c r="K24" s="1372">
        <f t="shared" si="25"/>
        <v>0</v>
      </c>
    </row>
    <row r="25" spans="1:11" x14ac:dyDescent="0.25">
      <c r="A25" s="43">
        <v>5</v>
      </c>
      <c r="C25" s="43">
        <f t="shared" si="20"/>
        <v>20</v>
      </c>
      <c r="E25" s="43">
        <f t="shared" si="25"/>
        <v>30</v>
      </c>
      <c r="G25" s="43">
        <f t="shared" si="25"/>
        <v>20</v>
      </c>
      <c r="H25" s="43">
        <v>20</v>
      </c>
      <c r="I25" s="43">
        <f t="shared" si="25"/>
        <v>20</v>
      </c>
      <c r="J25" s="1372"/>
      <c r="K25" s="1372">
        <f t="shared" si="25"/>
        <v>0</v>
      </c>
    </row>
    <row r="26" spans="1:11" ht="15.75" thickBot="1" x14ac:dyDescent="0.3">
      <c r="A26" s="43">
        <v>6</v>
      </c>
      <c r="C26" s="43">
        <f t="shared" si="20"/>
        <v>20</v>
      </c>
      <c r="E26" s="43">
        <f t="shared" si="25"/>
        <v>30</v>
      </c>
      <c r="G26" s="43">
        <f t="shared" si="25"/>
        <v>20</v>
      </c>
      <c r="I26" s="43">
        <f t="shared" si="25"/>
        <v>20</v>
      </c>
      <c r="J26" s="1372">
        <v>7.0000000000000007E-2</v>
      </c>
      <c r="K26" s="1372">
        <f t="shared" si="25"/>
        <v>7.0000000000000007E-2</v>
      </c>
    </row>
    <row r="27" spans="1:11" ht="15.75" thickBot="1" x14ac:dyDescent="0.3">
      <c r="A27" s="1374"/>
      <c r="B27" s="1374"/>
      <c r="C27" s="1374"/>
      <c r="D27" s="1374"/>
      <c r="E27" s="1374"/>
      <c r="F27" s="1374"/>
      <c r="G27" s="1374"/>
      <c r="H27" s="1374"/>
      <c r="I27" s="1374"/>
      <c r="J27" s="1374"/>
      <c r="K27" s="1374"/>
    </row>
    <row r="28" spans="1:11" x14ac:dyDescent="0.25">
      <c r="A28" s="1379" t="s">
        <v>415</v>
      </c>
      <c r="B28" s="1378" t="s">
        <v>571</v>
      </c>
      <c r="C28" s="83" t="s">
        <v>808</v>
      </c>
      <c r="D28" s="1378" t="s">
        <v>418</v>
      </c>
      <c r="E28" s="83" t="s">
        <v>808</v>
      </c>
      <c r="F28" s="1378" t="s">
        <v>831</v>
      </c>
      <c r="G28" s="83" t="s">
        <v>808</v>
      </c>
      <c r="H28" s="1378"/>
      <c r="I28" s="83"/>
      <c r="J28" s="1378"/>
      <c r="K28" s="83"/>
    </row>
    <row r="29" spans="1:11" s="44" customFormat="1" x14ac:dyDescent="0.25">
      <c r="A29" s="43">
        <v>0</v>
      </c>
      <c r="B29" s="1376"/>
      <c r="C29" s="1372">
        <f>B29</f>
        <v>0</v>
      </c>
      <c r="D29" s="1372"/>
      <c r="E29" s="1372">
        <f>D29</f>
        <v>0</v>
      </c>
      <c r="F29" s="1372"/>
      <c r="G29" s="1372">
        <f>F29</f>
        <v>0</v>
      </c>
      <c r="H29" s="1372"/>
      <c r="I29" s="1372">
        <f>H29</f>
        <v>0</v>
      </c>
      <c r="J29" s="1372"/>
      <c r="K29" s="1372">
        <f>J29</f>
        <v>0</v>
      </c>
    </row>
    <row r="30" spans="1:11" x14ac:dyDescent="0.25">
      <c r="A30" s="43">
        <v>1</v>
      </c>
      <c r="B30" s="1376"/>
      <c r="C30" s="1372">
        <f>B30+C29</f>
        <v>0</v>
      </c>
      <c r="D30" s="1372"/>
      <c r="E30" s="1372">
        <f>D30+E29</f>
        <v>0</v>
      </c>
      <c r="F30" s="1372"/>
      <c r="G30" s="1372">
        <f>F30+G29</f>
        <v>0</v>
      </c>
      <c r="H30" s="1372"/>
      <c r="I30" s="1372">
        <f>H30+I29</f>
        <v>0</v>
      </c>
      <c r="J30" s="1372"/>
      <c r="K30" s="1372">
        <f>J30+K29</f>
        <v>0</v>
      </c>
    </row>
    <row r="31" spans="1:11" x14ac:dyDescent="0.25">
      <c r="A31" s="43">
        <v>2</v>
      </c>
      <c r="B31" s="1372">
        <v>0.1</v>
      </c>
      <c r="C31" s="1372">
        <f>B31+C30</f>
        <v>0.1</v>
      </c>
      <c r="D31" s="1372"/>
      <c r="E31" s="1372">
        <f>D31+E30</f>
        <v>0</v>
      </c>
      <c r="F31" s="1372"/>
      <c r="G31" s="1372">
        <f>F31+G30</f>
        <v>0</v>
      </c>
    </row>
    <row r="32" spans="1:11" x14ac:dyDescent="0.25">
      <c r="A32" s="43">
        <v>3</v>
      </c>
      <c r="B32" s="1372"/>
      <c r="C32" s="1372">
        <f>B32+C31</f>
        <v>0.1</v>
      </c>
      <c r="D32" s="1372">
        <v>0.1</v>
      </c>
      <c r="E32" s="1372">
        <f t="shared" ref="E32:E35" si="27">D32+E31</f>
        <v>0.1</v>
      </c>
      <c r="F32" s="1372"/>
      <c r="G32" s="1372">
        <f t="shared" ref="G32:G35" si="28">F32+G31</f>
        <v>0</v>
      </c>
    </row>
    <row r="33" spans="1:11" x14ac:dyDescent="0.25">
      <c r="A33" s="43">
        <v>4</v>
      </c>
      <c r="B33" s="1372">
        <v>0.2</v>
      </c>
      <c r="C33" s="1372">
        <f t="shared" ref="C33:C35" si="29">B33+C32</f>
        <v>0.30000000000000004</v>
      </c>
      <c r="D33" s="1372"/>
      <c r="E33" s="1372">
        <f t="shared" si="27"/>
        <v>0.1</v>
      </c>
      <c r="F33" s="1372"/>
      <c r="G33" s="1372">
        <f t="shared" si="28"/>
        <v>0</v>
      </c>
    </row>
    <row r="34" spans="1:11" x14ac:dyDescent="0.25">
      <c r="A34" s="43">
        <v>5</v>
      </c>
      <c r="B34" s="1372"/>
      <c r="C34" s="1372">
        <f t="shared" si="29"/>
        <v>0.30000000000000004</v>
      </c>
      <c r="D34" s="1372">
        <v>0.2</v>
      </c>
      <c r="E34" s="1372">
        <f t="shared" si="27"/>
        <v>0.30000000000000004</v>
      </c>
      <c r="F34" s="1372"/>
      <c r="G34" s="1372">
        <f t="shared" si="28"/>
        <v>0</v>
      </c>
    </row>
    <row r="35" spans="1:11" ht="15.75" thickBot="1" x14ac:dyDescent="0.3">
      <c r="A35" s="43">
        <v>6</v>
      </c>
      <c r="B35" s="1372"/>
      <c r="C35" s="1372">
        <f t="shared" si="29"/>
        <v>0.30000000000000004</v>
      </c>
      <c r="D35" s="1372"/>
      <c r="E35" s="1372">
        <f t="shared" si="27"/>
        <v>0.30000000000000004</v>
      </c>
      <c r="F35" s="1372">
        <v>-0.5</v>
      </c>
      <c r="G35" s="1372">
        <f t="shared" si="28"/>
        <v>-0.5</v>
      </c>
    </row>
    <row r="36" spans="1:11" ht="15.75" thickBot="1" x14ac:dyDescent="0.3">
      <c r="A36" s="1374"/>
      <c r="B36" s="1374"/>
      <c r="C36" s="1374"/>
      <c r="D36" s="1374"/>
      <c r="E36" s="1374"/>
      <c r="F36" s="1374"/>
      <c r="G36" s="1374"/>
      <c r="H36" s="1374"/>
      <c r="I36" s="1374"/>
      <c r="J36" s="1374"/>
      <c r="K36" s="1374"/>
    </row>
    <row r="37" spans="1:11" x14ac:dyDescent="0.25">
      <c r="A37" s="1328" t="s">
        <v>262</v>
      </c>
      <c r="B37" s="1378" t="s">
        <v>713</v>
      </c>
      <c r="C37" s="83" t="s">
        <v>808</v>
      </c>
      <c r="D37" s="1378" t="s">
        <v>735</v>
      </c>
      <c r="E37" s="83" t="s">
        <v>808</v>
      </c>
      <c r="F37" s="1378" t="s">
        <v>832</v>
      </c>
      <c r="G37" s="83" t="s">
        <v>808</v>
      </c>
      <c r="H37" s="1378"/>
      <c r="I37" s="83"/>
      <c r="J37" s="1378"/>
      <c r="K37" s="83"/>
    </row>
    <row r="38" spans="1:11" x14ac:dyDescent="0.25">
      <c r="A38" s="43">
        <v>0</v>
      </c>
      <c r="B38" s="1376"/>
      <c r="C38" s="1372">
        <f>B38</f>
        <v>0</v>
      </c>
      <c r="D38" s="1372"/>
      <c r="E38" s="1372">
        <f>D38</f>
        <v>0</v>
      </c>
      <c r="F38" s="1372"/>
      <c r="G38" s="1372">
        <f>F38</f>
        <v>0</v>
      </c>
      <c r="H38" s="1372"/>
      <c r="I38" s="1372">
        <f>H38</f>
        <v>0</v>
      </c>
      <c r="J38" s="1372"/>
      <c r="K38" s="1372">
        <f>J38</f>
        <v>0</v>
      </c>
    </row>
    <row r="39" spans="1:11" x14ac:dyDescent="0.25">
      <c r="A39" s="43">
        <v>1</v>
      </c>
      <c r="B39" s="1376"/>
      <c r="C39" s="1372">
        <f>B39+C38</f>
        <v>0</v>
      </c>
      <c r="D39" s="1372"/>
      <c r="E39" s="1372">
        <f>D39+E38</f>
        <v>0</v>
      </c>
      <c r="F39" s="1372"/>
      <c r="G39" s="1372">
        <f>F39+G38</f>
        <v>0</v>
      </c>
      <c r="H39" s="1372"/>
      <c r="I39" s="1372">
        <f>H39+I38</f>
        <v>0</v>
      </c>
      <c r="J39" s="1372"/>
      <c r="K39" s="1372">
        <f>J39+K38</f>
        <v>0</v>
      </c>
    </row>
    <row r="40" spans="1:11" x14ac:dyDescent="0.25">
      <c r="A40" s="43">
        <v>2</v>
      </c>
      <c r="B40" s="43">
        <v>1</v>
      </c>
      <c r="C40" s="43">
        <f>B40</f>
        <v>1</v>
      </c>
      <c r="D40" s="1372"/>
      <c r="E40" s="1372">
        <f t="shared" ref="E40:G40" si="30">D40</f>
        <v>0</v>
      </c>
      <c r="G40" s="43">
        <f t="shared" si="30"/>
        <v>0</v>
      </c>
    </row>
    <row r="41" spans="1:11" x14ac:dyDescent="0.25">
      <c r="A41" s="43">
        <v>3</v>
      </c>
      <c r="C41" s="43">
        <f>B41+C40</f>
        <v>1</v>
      </c>
      <c r="D41" s="1372">
        <v>0.05</v>
      </c>
      <c r="E41" s="1372">
        <f>D41+E40</f>
        <v>0.05</v>
      </c>
      <c r="G41" s="43">
        <f>F41+G40</f>
        <v>0</v>
      </c>
    </row>
    <row r="42" spans="1:11" x14ac:dyDescent="0.25">
      <c r="A42" s="43">
        <v>4</v>
      </c>
      <c r="B42" s="43">
        <v>1</v>
      </c>
      <c r="C42" s="43">
        <f>B42+C41</f>
        <v>2</v>
      </c>
      <c r="D42" s="1372"/>
      <c r="E42" s="1372">
        <f>D42+E41</f>
        <v>0.05</v>
      </c>
      <c r="G42" s="43">
        <f>F42+G41</f>
        <v>0</v>
      </c>
    </row>
    <row r="43" spans="1:11" s="44" customFormat="1" x14ac:dyDescent="0.25">
      <c r="A43" s="43">
        <v>5</v>
      </c>
      <c r="B43" s="43"/>
      <c r="C43" s="43">
        <f t="shared" ref="C43:C44" si="31">B43+C42</f>
        <v>2</v>
      </c>
      <c r="D43" s="1372">
        <v>0.1</v>
      </c>
      <c r="E43" s="1372">
        <f t="shared" ref="E43:E44" si="32">D43+E42</f>
        <v>0.15000000000000002</v>
      </c>
      <c r="F43" s="43"/>
      <c r="G43" s="43">
        <f t="shared" ref="G43:G44" si="33">F43+G42</f>
        <v>0</v>
      </c>
      <c r="H43" s="43"/>
      <c r="I43" s="43"/>
      <c r="J43" s="43"/>
      <c r="K43" s="43"/>
    </row>
    <row r="44" spans="1:11" ht="15.75" thickBot="1" x14ac:dyDescent="0.3">
      <c r="A44" s="43">
        <v>6</v>
      </c>
      <c r="C44" s="43">
        <f t="shared" si="31"/>
        <v>2</v>
      </c>
      <c r="D44" s="1372"/>
      <c r="E44" s="1372">
        <f t="shared" si="32"/>
        <v>0.15000000000000002</v>
      </c>
      <c r="F44" s="43">
        <v>1</v>
      </c>
      <c r="G44" s="43">
        <f t="shared" si="33"/>
        <v>1</v>
      </c>
    </row>
    <row r="45" spans="1:11" ht="15.75" thickBot="1" x14ac:dyDescent="0.3">
      <c r="A45" s="1374"/>
      <c r="B45" s="1374"/>
      <c r="C45" s="1374"/>
      <c r="D45" s="1374"/>
      <c r="E45" s="1374"/>
      <c r="F45" s="1374"/>
      <c r="G45" s="1374"/>
      <c r="H45" s="1374"/>
      <c r="I45" s="1374"/>
      <c r="J45" s="1374"/>
      <c r="K45" s="1374"/>
    </row>
    <row r="46" spans="1:11" x14ac:dyDescent="0.25">
      <c r="A46" s="1379" t="s">
        <v>833</v>
      </c>
      <c r="B46" s="1378" t="s">
        <v>834</v>
      </c>
      <c r="C46" s="83" t="s">
        <v>808</v>
      </c>
      <c r="D46" s="83"/>
      <c r="E46" s="83"/>
      <c r="F46" s="83"/>
      <c r="G46" s="83"/>
      <c r="H46" s="83"/>
      <c r="I46" s="83"/>
      <c r="J46" s="83"/>
      <c r="K46" s="83"/>
    </row>
    <row r="47" spans="1:11" x14ac:dyDescent="0.25">
      <c r="A47" s="43">
        <v>0</v>
      </c>
      <c r="B47" s="1376"/>
      <c r="C47" s="1372">
        <f t="shared" ref="C47" si="34">B47</f>
        <v>0</v>
      </c>
      <c r="D47" s="1372"/>
      <c r="E47" s="1372">
        <f>D47</f>
        <v>0</v>
      </c>
      <c r="F47" s="1372"/>
      <c r="G47" s="1372">
        <f>F47</f>
        <v>0</v>
      </c>
      <c r="H47" s="1372"/>
      <c r="I47" s="1372">
        <f>H47</f>
        <v>0</v>
      </c>
      <c r="J47" s="1372"/>
      <c r="K47" s="1372">
        <f>J47</f>
        <v>0</v>
      </c>
    </row>
    <row r="48" spans="1:11" x14ac:dyDescent="0.25">
      <c r="A48" s="43">
        <v>1</v>
      </c>
      <c r="B48" s="1376"/>
      <c r="C48" s="1372">
        <f>B48+C47</f>
        <v>0</v>
      </c>
      <c r="D48" s="1372"/>
      <c r="E48" s="1372">
        <f t="shared" ref="E48" si="35">D48+E47</f>
        <v>0</v>
      </c>
      <c r="F48" s="1372"/>
      <c r="G48" s="1372">
        <f t="shared" ref="G48" si="36">F48+G47</f>
        <v>0</v>
      </c>
      <c r="H48" s="1372"/>
      <c r="I48" s="1372">
        <f t="shared" ref="I48" si="37">H48+I47</f>
        <v>0</v>
      </c>
      <c r="J48" s="1372"/>
      <c r="K48" s="1372">
        <f t="shared" ref="K48" si="38">J48+K47</f>
        <v>0</v>
      </c>
    </row>
    <row r="49" spans="1:12" x14ac:dyDescent="0.25">
      <c r="A49" s="43">
        <v>2</v>
      </c>
      <c r="B49" s="1372">
        <v>0.01</v>
      </c>
      <c r="C49" s="1372">
        <f>B49</f>
        <v>0.01</v>
      </c>
    </row>
    <row r="50" spans="1:12" x14ac:dyDescent="0.25">
      <c r="A50" s="43">
        <v>3</v>
      </c>
      <c r="B50" s="1372">
        <v>0.02</v>
      </c>
      <c r="C50" s="1372">
        <f>B50+C49</f>
        <v>0.03</v>
      </c>
      <c r="L50" s="44"/>
    </row>
    <row r="51" spans="1:12" x14ac:dyDescent="0.25">
      <c r="A51" s="43">
        <v>4</v>
      </c>
      <c r="B51" s="1372">
        <v>0.03</v>
      </c>
      <c r="C51" s="1372">
        <f t="shared" ref="C51:C53" si="39">B51+C50</f>
        <v>0.06</v>
      </c>
    </row>
    <row r="52" spans="1:12" x14ac:dyDescent="0.25">
      <c r="A52" s="43">
        <v>5</v>
      </c>
      <c r="B52" s="1372">
        <v>0.04</v>
      </c>
      <c r="C52" s="1372">
        <f t="shared" si="39"/>
        <v>0.1</v>
      </c>
    </row>
    <row r="53" spans="1:12" ht="15.75" thickBot="1" x14ac:dyDescent="0.3">
      <c r="A53" s="43">
        <v>6</v>
      </c>
      <c r="B53" s="1372">
        <v>0.05</v>
      </c>
      <c r="C53" s="1372">
        <f t="shared" si="39"/>
        <v>0.15000000000000002</v>
      </c>
    </row>
    <row r="54" spans="1:12" ht="15.75" thickBot="1" x14ac:dyDescent="0.3">
      <c r="A54" s="1374"/>
      <c r="B54" s="1374"/>
      <c r="C54" s="1374"/>
      <c r="D54" s="1374"/>
      <c r="E54" s="1374"/>
      <c r="F54" s="1374"/>
      <c r="G54" s="1374"/>
      <c r="H54" s="1374"/>
      <c r="I54" s="1374"/>
      <c r="J54" s="1374"/>
      <c r="K54" s="1374"/>
    </row>
    <row r="55" spans="1:12" x14ac:dyDescent="0.25">
      <c r="A55" s="1328" t="s">
        <v>835</v>
      </c>
      <c r="B55" s="1378" t="s">
        <v>709</v>
      </c>
      <c r="C55" s="83" t="s">
        <v>808</v>
      </c>
      <c r="D55" s="1378" t="s">
        <v>278</v>
      </c>
      <c r="E55" s="83" t="s">
        <v>808</v>
      </c>
      <c r="F55" s="1378"/>
      <c r="G55" s="1378"/>
      <c r="H55" s="1378"/>
      <c r="I55" s="1378"/>
      <c r="J55" s="1378"/>
      <c r="K55" s="1378"/>
    </row>
    <row r="56" spans="1:12" x14ac:dyDescent="0.25">
      <c r="A56" s="43">
        <v>0</v>
      </c>
      <c r="B56" s="1376"/>
      <c r="C56" s="1372">
        <f t="shared" ref="C56" si="40">B56</f>
        <v>0</v>
      </c>
      <c r="D56" s="1372"/>
      <c r="E56" s="1372">
        <f>D56</f>
        <v>0</v>
      </c>
      <c r="F56" s="1372"/>
      <c r="G56" s="1372">
        <f>F56</f>
        <v>0</v>
      </c>
      <c r="H56" s="1372"/>
      <c r="I56" s="1372">
        <f>H56</f>
        <v>0</v>
      </c>
      <c r="J56" s="1372"/>
      <c r="K56" s="1372">
        <f>J56</f>
        <v>0</v>
      </c>
    </row>
    <row r="57" spans="1:12" s="44" customFormat="1" x14ac:dyDescent="0.25">
      <c r="A57" s="43">
        <v>1</v>
      </c>
      <c r="B57" s="1376"/>
      <c r="C57" s="1372">
        <f>B57+C56</f>
        <v>0</v>
      </c>
      <c r="D57" s="1372"/>
      <c r="E57" s="1372">
        <f t="shared" ref="E57" si="41">D57+E56</f>
        <v>0</v>
      </c>
      <c r="F57" s="1372"/>
      <c r="G57" s="1372">
        <f t="shared" ref="G57" si="42">F57+G56</f>
        <v>0</v>
      </c>
      <c r="H57" s="1372"/>
      <c r="I57" s="1372">
        <f t="shared" ref="I57" si="43">H57+I56</f>
        <v>0</v>
      </c>
      <c r="J57" s="1372"/>
      <c r="K57" s="1372">
        <f t="shared" ref="K57" si="44">J57+K56</f>
        <v>0</v>
      </c>
    </row>
    <row r="58" spans="1:12" x14ac:dyDescent="0.25">
      <c r="A58" s="43">
        <v>2</v>
      </c>
      <c r="B58" s="1372">
        <v>0.1</v>
      </c>
      <c r="C58" s="1372">
        <f>B58</f>
        <v>0.1</v>
      </c>
      <c r="D58" s="1376"/>
      <c r="E58" s="1376">
        <f>D58</f>
        <v>0</v>
      </c>
    </row>
    <row r="59" spans="1:12" x14ac:dyDescent="0.25">
      <c r="A59" s="43">
        <v>3</v>
      </c>
      <c r="B59" s="1372"/>
      <c r="C59" s="1372">
        <f>B59+C58</f>
        <v>0.1</v>
      </c>
      <c r="D59" s="1376">
        <v>1</v>
      </c>
      <c r="E59" s="1376">
        <f>D59+E58</f>
        <v>1</v>
      </c>
    </row>
    <row r="60" spans="1:12" x14ac:dyDescent="0.25">
      <c r="A60" s="43">
        <v>4</v>
      </c>
      <c r="B60" s="1372"/>
      <c r="C60" s="1372">
        <f t="shared" ref="C60:C62" si="45">B60+C59</f>
        <v>0.1</v>
      </c>
      <c r="D60" s="1376">
        <v>1</v>
      </c>
      <c r="E60" s="1376">
        <f t="shared" ref="E60:E62" si="46">D60+E59</f>
        <v>2</v>
      </c>
    </row>
    <row r="61" spans="1:12" x14ac:dyDescent="0.25">
      <c r="A61" s="43">
        <v>5</v>
      </c>
      <c r="B61" s="1372"/>
      <c r="C61" s="1372">
        <f t="shared" si="45"/>
        <v>0.1</v>
      </c>
      <c r="D61" s="1376">
        <v>2</v>
      </c>
      <c r="E61" s="1376">
        <f t="shared" si="46"/>
        <v>4</v>
      </c>
    </row>
    <row r="62" spans="1:12" ht="15.75" thickBot="1" x14ac:dyDescent="0.3">
      <c r="A62" s="43">
        <v>6</v>
      </c>
      <c r="B62" s="1372"/>
      <c r="C62" s="1372">
        <f t="shared" si="45"/>
        <v>0.1</v>
      </c>
      <c r="D62" s="1376">
        <v>3</v>
      </c>
      <c r="E62" s="1376">
        <f t="shared" si="46"/>
        <v>7</v>
      </c>
    </row>
    <row r="63" spans="1:12" ht="15.75" thickBot="1" x14ac:dyDescent="0.3">
      <c r="A63" s="1374"/>
      <c r="B63" s="1374"/>
      <c r="C63" s="1374"/>
      <c r="D63" s="1374"/>
      <c r="E63" s="1374"/>
      <c r="F63" s="1374"/>
      <c r="G63" s="1374"/>
      <c r="H63" s="1374"/>
      <c r="I63" s="1374"/>
      <c r="J63" s="1374"/>
      <c r="K63" s="1374"/>
    </row>
    <row r="64" spans="1:12" x14ac:dyDescent="0.25">
      <c r="A64" s="1379" t="s">
        <v>825</v>
      </c>
      <c r="B64" s="1378" t="s">
        <v>836</v>
      </c>
      <c r="C64" s="83" t="s">
        <v>808</v>
      </c>
      <c r="D64" s="1378" t="s">
        <v>251</v>
      </c>
      <c r="E64" s="83" t="s">
        <v>808</v>
      </c>
      <c r="F64" s="1378" t="s">
        <v>31</v>
      </c>
      <c r="G64" s="83" t="s">
        <v>808</v>
      </c>
      <c r="H64" s="1378" t="s">
        <v>837</v>
      </c>
      <c r="I64" s="83" t="s">
        <v>808</v>
      </c>
      <c r="J64" s="1378" t="s">
        <v>29</v>
      </c>
      <c r="K64" s="83" t="s">
        <v>808</v>
      </c>
    </row>
    <row r="65" spans="1:11" x14ac:dyDescent="0.25">
      <c r="A65" s="43">
        <v>0</v>
      </c>
      <c r="B65" s="1376"/>
      <c r="C65" s="1372">
        <f t="shared" ref="C65" si="47">B65</f>
        <v>0</v>
      </c>
      <c r="D65" s="1372"/>
      <c r="E65" s="1372">
        <f>D65</f>
        <v>0</v>
      </c>
      <c r="F65" s="1372"/>
      <c r="G65" s="1372">
        <f>F65</f>
        <v>0</v>
      </c>
      <c r="H65" s="1372"/>
      <c r="I65" s="1372">
        <f>H65</f>
        <v>0</v>
      </c>
      <c r="J65" s="1372"/>
      <c r="K65" s="1372">
        <f>J65</f>
        <v>0</v>
      </c>
    </row>
    <row r="66" spans="1:11" x14ac:dyDescent="0.25">
      <c r="A66" s="43">
        <v>1</v>
      </c>
      <c r="B66" s="1376"/>
      <c r="C66" s="1372">
        <f>B66+C65</f>
        <v>0</v>
      </c>
      <c r="D66" s="1372"/>
      <c r="E66" s="1372">
        <f t="shared" ref="E66" si="48">D66+E65</f>
        <v>0</v>
      </c>
      <c r="F66" s="1372"/>
      <c r="G66" s="1372">
        <f t="shared" ref="G66" si="49">F66+G65</f>
        <v>0</v>
      </c>
      <c r="H66" s="1372"/>
      <c r="I66" s="1372">
        <f t="shared" ref="I66" si="50">H66+I65</f>
        <v>0</v>
      </c>
      <c r="J66" s="1372"/>
      <c r="K66" s="1372">
        <f t="shared" ref="K66" si="51">J66+K65</f>
        <v>0</v>
      </c>
    </row>
    <row r="67" spans="1:11" x14ac:dyDescent="0.25">
      <c r="A67" s="43">
        <v>2</v>
      </c>
      <c r="B67" s="1376">
        <v>25</v>
      </c>
      <c r="C67" s="1376">
        <f>B67</f>
        <v>25</v>
      </c>
      <c r="D67" s="1372"/>
      <c r="E67" s="1372">
        <f t="shared" ref="E67:K67" si="52">D67</f>
        <v>0</v>
      </c>
      <c r="F67" s="1376"/>
      <c r="G67" s="1376">
        <f t="shared" si="52"/>
        <v>0</v>
      </c>
      <c r="H67" s="1372"/>
      <c r="I67" s="1372">
        <f t="shared" si="52"/>
        <v>0</v>
      </c>
      <c r="J67" s="1372"/>
      <c r="K67" s="1372">
        <f t="shared" si="52"/>
        <v>0</v>
      </c>
    </row>
    <row r="68" spans="1:11" x14ac:dyDescent="0.25">
      <c r="A68" s="43">
        <v>3</v>
      </c>
      <c r="B68" s="1376"/>
      <c r="C68" s="1376">
        <f>B68+C67</f>
        <v>25</v>
      </c>
      <c r="D68" s="1372">
        <v>0.25</v>
      </c>
      <c r="E68" s="1372">
        <f t="shared" ref="E68:K71" si="53">D68+E67</f>
        <v>0.25</v>
      </c>
      <c r="F68" s="1376"/>
      <c r="G68" s="1376">
        <f t="shared" si="53"/>
        <v>0</v>
      </c>
      <c r="H68" s="1372"/>
      <c r="I68" s="1372">
        <f t="shared" si="53"/>
        <v>0</v>
      </c>
      <c r="J68" s="1372"/>
      <c r="K68" s="1372">
        <f t="shared" si="53"/>
        <v>0</v>
      </c>
    </row>
    <row r="69" spans="1:11" x14ac:dyDescent="0.25">
      <c r="A69" s="43">
        <v>4</v>
      </c>
      <c r="B69" s="1376"/>
      <c r="C69" s="1376">
        <f t="shared" ref="C69:C71" si="54">B69+C68</f>
        <v>25</v>
      </c>
      <c r="D69" s="1372"/>
      <c r="E69" s="1372">
        <f t="shared" si="53"/>
        <v>0.25</v>
      </c>
      <c r="F69" s="1376">
        <v>1</v>
      </c>
      <c r="G69" s="1376">
        <f t="shared" si="53"/>
        <v>1</v>
      </c>
      <c r="H69" s="1372"/>
      <c r="I69" s="1372">
        <f t="shared" si="53"/>
        <v>0</v>
      </c>
      <c r="J69" s="1372"/>
      <c r="K69" s="1372">
        <f t="shared" si="53"/>
        <v>0</v>
      </c>
    </row>
    <row r="70" spans="1:11" x14ac:dyDescent="0.25">
      <c r="A70" s="43">
        <v>5</v>
      </c>
      <c r="B70" s="1376"/>
      <c r="C70" s="1376">
        <f t="shared" si="54"/>
        <v>25</v>
      </c>
      <c r="D70" s="1372"/>
      <c r="E70" s="1372">
        <f t="shared" si="53"/>
        <v>0.25</v>
      </c>
      <c r="F70" s="1376"/>
      <c r="G70" s="1376">
        <f t="shared" si="53"/>
        <v>1</v>
      </c>
      <c r="H70" s="1372">
        <v>0.12</v>
      </c>
      <c r="I70" s="1372">
        <f t="shared" si="53"/>
        <v>0.12</v>
      </c>
      <c r="J70" s="1372"/>
      <c r="K70" s="1372">
        <f t="shared" si="53"/>
        <v>0</v>
      </c>
    </row>
    <row r="71" spans="1:11" ht="15.75" thickBot="1" x14ac:dyDescent="0.3">
      <c r="A71" s="43">
        <v>6</v>
      </c>
      <c r="B71" s="1376"/>
      <c r="C71" s="1376">
        <f t="shared" si="54"/>
        <v>25</v>
      </c>
      <c r="D71" s="1372"/>
      <c r="E71" s="1372">
        <f t="shared" si="53"/>
        <v>0.25</v>
      </c>
      <c r="F71" s="1376"/>
      <c r="G71" s="1376">
        <f t="shared" si="53"/>
        <v>1</v>
      </c>
      <c r="H71" s="1372"/>
      <c r="I71" s="1372">
        <f t="shared" si="53"/>
        <v>0.12</v>
      </c>
      <c r="J71" s="1372">
        <v>0.12</v>
      </c>
      <c r="K71" s="1372">
        <f t="shared" si="53"/>
        <v>0.12</v>
      </c>
    </row>
    <row r="72" spans="1:11" ht="15.75" thickBot="1" x14ac:dyDescent="0.3">
      <c r="A72" s="1374"/>
      <c r="B72" s="1374"/>
      <c r="C72" s="1374"/>
      <c r="D72" s="1374"/>
      <c r="E72" s="1374"/>
      <c r="F72" s="1374"/>
      <c r="G72" s="1374"/>
      <c r="H72" s="1374"/>
      <c r="I72" s="1374"/>
      <c r="J72" s="1374"/>
      <c r="K72" s="1374"/>
    </row>
    <row r="73" spans="1:11" x14ac:dyDescent="0.25">
      <c r="A73" s="1328" t="s">
        <v>822</v>
      </c>
      <c r="B73" s="1378" t="s">
        <v>838</v>
      </c>
      <c r="C73" s="83" t="s">
        <v>808</v>
      </c>
      <c r="D73" s="1378" t="s">
        <v>839</v>
      </c>
      <c r="E73" s="83" t="s">
        <v>808</v>
      </c>
      <c r="F73" s="1378" t="s">
        <v>840</v>
      </c>
      <c r="G73" s="83" t="s">
        <v>808</v>
      </c>
      <c r="H73" s="1378" t="s">
        <v>841</v>
      </c>
      <c r="I73" s="83" t="s">
        <v>808</v>
      </c>
      <c r="J73" s="1378" t="s">
        <v>10</v>
      </c>
      <c r="K73" s="83" t="s">
        <v>808</v>
      </c>
    </row>
    <row r="74" spans="1:11" x14ac:dyDescent="0.25">
      <c r="A74" s="43">
        <v>0</v>
      </c>
      <c r="B74" s="1376"/>
      <c r="C74" s="1372">
        <f t="shared" ref="C74" si="55">B74</f>
        <v>0</v>
      </c>
      <c r="D74" s="1372"/>
      <c r="E74" s="1372">
        <f>D74</f>
        <v>0</v>
      </c>
      <c r="F74" s="1372"/>
      <c r="G74" s="1372">
        <f>F74</f>
        <v>0</v>
      </c>
      <c r="H74" s="1372"/>
      <c r="I74" s="1372">
        <f>H74</f>
        <v>0</v>
      </c>
      <c r="J74" s="1372"/>
      <c r="K74" s="1372">
        <f>J74</f>
        <v>0</v>
      </c>
    </row>
    <row r="75" spans="1:11" x14ac:dyDescent="0.25">
      <c r="A75" s="43">
        <v>1</v>
      </c>
      <c r="B75" s="1376"/>
      <c r="C75" s="1372">
        <f>B75+C74</f>
        <v>0</v>
      </c>
      <c r="D75" s="1372"/>
      <c r="E75" s="1372">
        <f t="shared" ref="E75" si="56">D75+E74</f>
        <v>0</v>
      </c>
      <c r="F75" s="1372"/>
      <c r="G75" s="1372">
        <f t="shared" ref="G75" si="57">F75+G74</f>
        <v>0</v>
      </c>
      <c r="H75" s="1372"/>
      <c r="I75" s="1372">
        <f t="shared" ref="I75" si="58">H75+I74</f>
        <v>0</v>
      </c>
      <c r="J75" s="1372"/>
      <c r="K75" s="1372">
        <f t="shared" ref="K75" si="59">J75+K74</f>
        <v>0</v>
      </c>
    </row>
    <row r="76" spans="1:11" x14ac:dyDescent="0.25">
      <c r="A76" s="43">
        <v>2</v>
      </c>
      <c r="B76" s="43">
        <v>40</v>
      </c>
      <c r="C76" s="1376">
        <f>B76</f>
        <v>40</v>
      </c>
      <c r="D76" s="1372"/>
      <c r="E76" s="1372">
        <f>D76</f>
        <v>0</v>
      </c>
      <c r="G76" s="1376">
        <f>F76</f>
        <v>0</v>
      </c>
      <c r="H76" s="1372"/>
      <c r="I76" s="1372">
        <f>H76</f>
        <v>0</v>
      </c>
      <c r="J76" s="1372"/>
      <c r="K76" s="1372">
        <f>J76</f>
        <v>0</v>
      </c>
    </row>
    <row r="77" spans="1:11" x14ac:dyDescent="0.25">
      <c r="A77" s="43">
        <v>3</v>
      </c>
      <c r="C77" s="1376">
        <f>B77+C76</f>
        <v>40</v>
      </c>
      <c r="D77" s="1372">
        <v>0.15</v>
      </c>
      <c r="E77" s="1372">
        <f>D77+E76</f>
        <v>0.15</v>
      </c>
      <c r="G77" s="1376">
        <f>F77+G76</f>
        <v>0</v>
      </c>
      <c r="H77" s="1372"/>
      <c r="I77" s="1372">
        <f>H77+I76</f>
        <v>0</v>
      </c>
      <c r="J77" s="1372"/>
      <c r="K77" s="1372">
        <f>J77+K76</f>
        <v>0</v>
      </c>
    </row>
    <row r="78" spans="1:11" x14ac:dyDescent="0.25">
      <c r="A78" s="43">
        <v>4</v>
      </c>
      <c r="C78" s="1376">
        <f t="shared" ref="C78:C80" si="60">B78+C77</f>
        <v>40</v>
      </c>
      <c r="D78" s="1372"/>
      <c r="E78" s="1372">
        <f t="shared" ref="E78:E80" si="61">D78+E77</f>
        <v>0.15</v>
      </c>
      <c r="F78" s="43">
        <v>40</v>
      </c>
      <c r="G78" s="1376">
        <f t="shared" ref="G78:G80" si="62">F78+G77</f>
        <v>40</v>
      </c>
      <c r="H78" s="1372"/>
      <c r="I78" s="1372">
        <f t="shared" ref="I78:I80" si="63">H78+I77</f>
        <v>0</v>
      </c>
      <c r="J78" s="1372"/>
      <c r="K78" s="1372">
        <f t="shared" ref="K78:K80" si="64">J78+K77</f>
        <v>0</v>
      </c>
    </row>
    <row r="79" spans="1:11" x14ac:dyDescent="0.25">
      <c r="A79" s="43">
        <v>5</v>
      </c>
      <c r="C79" s="1376">
        <f t="shared" si="60"/>
        <v>40</v>
      </c>
      <c r="D79" s="1372"/>
      <c r="E79" s="1372">
        <f t="shared" si="61"/>
        <v>0.15</v>
      </c>
      <c r="G79" s="1376">
        <f t="shared" si="62"/>
        <v>40</v>
      </c>
      <c r="H79" s="1372">
        <v>0.12</v>
      </c>
      <c r="I79" s="1372">
        <f t="shared" si="63"/>
        <v>0.12</v>
      </c>
      <c r="J79" s="1372"/>
      <c r="K79" s="1372">
        <f t="shared" si="64"/>
        <v>0</v>
      </c>
    </row>
    <row r="80" spans="1:11" ht="15.75" thickBot="1" x14ac:dyDescent="0.3">
      <c r="A80" s="43">
        <v>6</v>
      </c>
      <c r="C80" s="1376">
        <f t="shared" si="60"/>
        <v>40</v>
      </c>
      <c r="D80" s="1372"/>
      <c r="E80" s="1372">
        <f t="shared" si="61"/>
        <v>0.15</v>
      </c>
      <c r="G80" s="1376">
        <f t="shared" si="62"/>
        <v>40</v>
      </c>
      <c r="H80" s="1372"/>
      <c r="I80" s="1372">
        <f t="shared" si="63"/>
        <v>0.12</v>
      </c>
      <c r="J80" s="1372">
        <v>0.12</v>
      </c>
      <c r="K80" s="1372">
        <f t="shared" si="64"/>
        <v>0.12</v>
      </c>
    </row>
    <row r="81" spans="1:11" ht="15.75" thickBot="1" x14ac:dyDescent="0.3">
      <c r="A81" s="1374"/>
      <c r="B81" s="1374"/>
      <c r="C81" s="1374"/>
      <c r="D81" s="1374"/>
      <c r="E81" s="1374"/>
      <c r="F81" s="1374"/>
      <c r="G81" s="1374"/>
      <c r="H81" s="1374"/>
      <c r="I81" s="1374"/>
      <c r="J81" s="1374"/>
      <c r="K81" s="1374"/>
    </row>
    <row r="82" spans="1:11" x14ac:dyDescent="0.25">
      <c r="A82" s="1328" t="s">
        <v>403</v>
      </c>
      <c r="B82" s="1378" t="s">
        <v>709</v>
      </c>
      <c r="C82" s="83" t="s">
        <v>808</v>
      </c>
      <c r="D82" s="1378" t="s">
        <v>842</v>
      </c>
      <c r="E82" s="83" t="s">
        <v>808</v>
      </c>
      <c r="F82" s="1378"/>
      <c r="G82" s="83"/>
      <c r="H82" s="1378"/>
      <c r="I82" s="83"/>
      <c r="J82" s="1378"/>
      <c r="K82" s="83"/>
    </row>
    <row r="83" spans="1:11" x14ac:dyDescent="0.25">
      <c r="A83" s="43">
        <v>0</v>
      </c>
      <c r="B83" s="1376"/>
      <c r="C83" s="1372">
        <f t="shared" ref="C83" si="65">B83</f>
        <v>0</v>
      </c>
      <c r="D83" s="1372"/>
      <c r="E83" s="1372">
        <f>D83</f>
        <v>0</v>
      </c>
      <c r="F83" s="1372"/>
      <c r="G83" s="1372">
        <f>F83</f>
        <v>0</v>
      </c>
      <c r="H83" s="1372"/>
      <c r="I83" s="1372">
        <f>H83</f>
        <v>0</v>
      </c>
      <c r="J83" s="1372"/>
      <c r="K83" s="1372">
        <f>J83</f>
        <v>0</v>
      </c>
    </row>
    <row r="84" spans="1:11" x14ac:dyDescent="0.25">
      <c r="A84" s="43">
        <v>1</v>
      </c>
      <c r="B84" s="1376"/>
      <c r="C84" s="1372">
        <f>B84+C83</f>
        <v>0</v>
      </c>
      <c r="D84" s="1372"/>
      <c r="E84" s="1372">
        <f t="shared" ref="E84" si="66">D84+E83</f>
        <v>0</v>
      </c>
      <c r="F84" s="1372"/>
      <c r="G84" s="1372">
        <f t="shared" ref="G84" si="67">F84+G83</f>
        <v>0</v>
      </c>
      <c r="H84" s="1372"/>
      <c r="I84" s="1372">
        <f t="shared" ref="I84" si="68">H84+I83</f>
        <v>0</v>
      </c>
      <c r="J84" s="1372"/>
      <c r="K84" s="1372">
        <f t="shared" ref="K84" si="69">J84+K83</f>
        <v>0</v>
      </c>
    </row>
    <row r="85" spans="1:11" x14ac:dyDescent="0.25">
      <c r="A85" s="43">
        <v>2</v>
      </c>
      <c r="B85" s="1372">
        <v>0.05</v>
      </c>
      <c r="C85" s="1372">
        <f>B85</f>
        <v>0.05</v>
      </c>
      <c r="D85" s="1376"/>
      <c r="E85" s="1376">
        <f>D85</f>
        <v>0</v>
      </c>
      <c r="G85" s="1376"/>
      <c r="H85" s="1372"/>
      <c r="I85" s="1372"/>
      <c r="J85" s="1372"/>
      <c r="K85" s="1372"/>
    </row>
    <row r="86" spans="1:11" x14ac:dyDescent="0.25">
      <c r="A86" s="43">
        <v>3</v>
      </c>
      <c r="B86" s="1372"/>
      <c r="C86" s="1372">
        <f>B86+C85</f>
        <v>0.05</v>
      </c>
      <c r="D86" s="1376">
        <v>-1</v>
      </c>
      <c r="E86" s="1376">
        <f>D86+E85</f>
        <v>-1</v>
      </c>
      <c r="G86" s="1376"/>
      <c r="H86" s="1372"/>
      <c r="I86" s="1372"/>
      <c r="J86" s="1372"/>
      <c r="K86" s="1372"/>
    </row>
    <row r="87" spans="1:11" x14ac:dyDescent="0.25">
      <c r="A87" s="43">
        <v>4</v>
      </c>
      <c r="B87" s="1372">
        <v>0.1</v>
      </c>
      <c r="C87" s="1372">
        <f t="shared" ref="C87:C89" si="70">B87+C86</f>
        <v>0.15000000000000002</v>
      </c>
      <c r="D87" s="1376"/>
      <c r="E87" s="1376">
        <f t="shared" ref="E87:E89" si="71">D87+E86</f>
        <v>-1</v>
      </c>
      <c r="G87" s="1376"/>
      <c r="H87" s="1372"/>
      <c r="I87" s="1372"/>
      <c r="J87" s="1372"/>
      <c r="K87" s="1372"/>
    </row>
    <row r="88" spans="1:11" x14ac:dyDescent="0.25">
      <c r="A88" s="43">
        <v>5</v>
      </c>
      <c r="B88" s="1372"/>
      <c r="C88" s="1372">
        <f t="shared" si="70"/>
        <v>0.15000000000000002</v>
      </c>
      <c r="D88" s="1376">
        <v>-2</v>
      </c>
      <c r="E88" s="1376">
        <f t="shared" si="71"/>
        <v>-3</v>
      </c>
      <c r="G88" s="1376"/>
      <c r="H88" s="1372"/>
      <c r="I88" s="1372"/>
      <c r="J88" s="1372"/>
      <c r="K88" s="1372"/>
    </row>
    <row r="89" spans="1:11" ht="15.75" thickBot="1" x14ac:dyDescent="0.3">
      <c r="A89" s="43">
        <v>6</v>
      </c>
      <c r="B89" s="1372">
        <v>0.15</v>
      </c>
      <c r="C89" s="1372">
        <f t="shared" si="70"/>
        <v>0.30000000000000004</v>
      </c>
      <c r="D89" s="1376"/>
      <c r="E89" s="1376">
        <f t="shared" si="71"/>
        <v>-3</v>
      </c>
      <c r="G89" s="1376"/>
      <c r="H89" s="1372"/>
      <c r="I89" s="1372"/>
      <c r="J89" s="1372"/>
      <c r="K89" s="1372"/>
    </row>
    <row r="90" spans="1:11" ht="15.75" thickBot="1" x14ac:dyDescent="0.3">
      <c r="A90" s="1374"/>
      <c r="B90" s="1374"/>
      <c r="C90" s="1374"/>
      <c r="D90" s="1374"/>
      <c r="E90" s="1374"/>
      <c r="F90" s="1374"/>
      <c r="G90" s="1374"/>
      <c r="H90" s="1374"/>
      <c r="I90" s="1374"/>
      <c r="J90" s="1374"/>
      <c r="K90" s="1374"/>
    </row>
    <row r="91" spans="1:11" x14ac:dyDescent="0.25">
      <c r="A91" s="1379" t="s">
        <v>410</v>
      </c>
      <c r="B91" s="1378" t="s">
        <v>724</v>
      </c>
      <c r="C91" s="83" t="s">
        <v>808</v>
      </c>
      <c r="D91" s="1378" t="s">
        <v>706</v>
      </c>
      <c r="E91" s="83" t="s">
        <v>808</v>
      </c>
      <c r="F91" s="1378" t="s">
        <v>35</v>
      </c>
      <c r="G91" s="83" t="s">
        <v>808</v>
      </c>
      <c r="H91" s="1378" t="s">
        <v>424</v>
      </c>
      <c r="I91" s="83" t="s">
        <v>808</v>
      </c>
      <c r="J91" s="1378"/>
      <c r="K91" s="83"/>
    </row>
    <row r="92" spans="1:11" x14ac:dyDescent="0.25">
      <c r="A92" s="43">
        <v>0</v>
      </c>
      <c r="B92" s="1376"/>
      <c r="C92" s="1372">
        <f t="shared" ref="C92" si="72">B92</f>
        <v>0</v>
      </c>
      <c r="D92" s="1372"/>
      <c r="E92" s="1372">
        <f>D92</f>
        <v>0</v>
      </c>
      <c r="F92" s="1372"/>
      <c r="G92" s="1372">
        <f>F92</f>
        <v>0</v>
      </c>
      <c r="H92" s="1372"/>
      <c r="I92" s="1372">
        <f>H92</f>
        <v>0</v>
      </c>
      <c r="J92" s="1372"/>
      <c r="K92" s="1372">
        <f>J92</f>
        <v>0</v>
      </c>
    </row>
    <row r="93" spans="1:11" x14ac:dyDescent="0.25">
      <c r="A93" s="43">
        <v>1</v>
      </c>
      <c r="B93" s="1376"/>
      <c r="C93" s="1372">
        <f>B93+C92</f>
        <v>0</v>
      </c>
      <c r="D93" s="1372"/>
      <c r="E93" s="1372">
        <f t="shared" ref="E93" si="73">D93+E92</f>
        <v>0</v>
      </c>
      <c r="F93" s="1372"/>
      <c r="G93" s="1372">
        <f t="shared" ref="G93" si="74">F93+G92</f>
        <v>0</v>
      </c>
      <c r="H93" s="1372"/>
      <c r="I93" s="1372">
        <f t="shared" ref="I93" si="75">H93+I92</f>
        <v>0</v>
      </c>
      <c r="J93" s="1372"/>
      <c r="K93" s="1372">
        <f t="shared" ref="K93" si="76">J93+K92</f>
        <v>0</v>
      </c>
    </row>
    <row r="94" spans="1:11" x14ac:dyDescent="0.25">
      <c r="A94" s="43">
        <v>2</v>
      </c>
      <c r="B94" s="43">
        <v>40</v>
      </c>
      <c r="C94" s="1376">
        <f>B94</f>
        <v>40</v>
      </c>
      <c r="D94" s="1377"/>
      <c r="E94" s="1377">
        <f>D94</f>
        <v>0</v>
      </c>
      <c r="F94" s="1372"/>
      <c r="G94" s="1372">
        <f>F94</f>
        <v>0</v>
      </c>
      <c r="H94" s="1376"/>
      <c r="I94" s="1376">
        <f>H94</f>
        <v>0</v>
      </c>
      <c r="J94" s="1372"/>
      <c r="K94" s="1372"/>
    </row>
    <row r="95" spans="1:11" x14ac:dyDescent="0.25">
      <c r="A95" s="43">
        <v>3</v>
      </c>
      <c r="C95" s="1376">
        <f>B95+C94</f>
        <v>40</v>
      </c>
      <c r="D95" s="1377">
        <v>0.5</v>
      </c>
      <c r="E95" s="1377">
        <f>D95+E94</f>
        <v>0.5</v>
      </c>
      <c r="F95" s="1372"/>
      <c r="G95" s="1372">
        <f>F95+G94</f>
        <v>0</v>
      </c>
      <c r="H95" s="1376"/>
      <c r="I95" s="1376">
        <f>H95+I94</f>
        <v>0</v>
      </c>
      <c r="J95" s="1372"/>
      <c r="K95" s="1372"/>
    </row>
    <row r="96" spans="1:11" x14ac:dyDescent="0.25">
      <c r="A96" s="43">
        <v>4</v>
      </c>
      <c r="C96" s="1376">
        <f t="shared" ref="C96:C98" si="77">B96+C95</f>
        <v>40</v>
      </c>
      <c r="D96" s="1377"/>
      <c r="E96" s="1377">
        <f t="shared" ref="E96:E98" si="78">D96+E95</f>
        <v>0.5</v>
      </c>
      <c r="F96" s="1372">
        <v>0.1</v>
      </c>
      <c r="G96" s="1372">
        <f t="shared" ref="G96:G98" si="79">F96+G95</f>
        <v>0.1</v>
      </c>
      <c r="H96" s="1376"/>
      <c r="I96" s="1376">
        <f t="shared" ref="I96:I98" si="80">H96+I95</f>
        <v>0</v>
      </c>
      <c r="J96" s="1372"/>
      <c r="K96" s="1372"/>
    </row>
    <row r="97" spans="1:11" x14ac:dyDescent="0.25">
      <c r="A97" s="43">
        <v>5</v>
      </c>
      <c r="C97" s="1376">
        <f t="shared" si="77"/>
        <v>40</v>
      </c>
      <c r="D97" s="1377"/>
      <c r="E97" s="1377">
        <f t="shared" si="78"/>
        <v>0.5</v>
      </c>
      <c r="F97" s="1372"/>
      <c r="G97" s="1372">
        <f t="shared" si="79"/>
        <v>0.1</v>
      </c>
      <c r="H97" s="1376">
        <v>1</v>
      </c>
      <c r="I97" s="1376">
        <f t="shared" si="80"/>
        <v>1</v>
      </c>
      <c r="J97" s="1372"/>
      <c r="K97" s="1372"/>
    </row>
    <row r="98" spans="1:11" ht="15.75" thickBot="1" x14ac:dyDescent="0.3">
      <c r="A98" s="43">
        <v>6</v>
      </c>
      <c r="C98" s="1376">
        <f t="shared" si="77"/>
        <v>40</v>
      </c>
      <c r="D98" s="1377"/>
      <c r="E98" s="1377">
        <f t="shared" si="78"/>
        <v>0.5</v>
      </c>
      <c r="F98" s="1372">
        <v>0.15</v>
      </c>
      <c r="G98" s="1372">
        <f t="shared" si="79"/>
        <v>0.25</v>
      </c>
      <c r="H98" s="1376"/>
      <c r="I98" s="1376">
        <f t="shared" si="80"/>
        <v>1</v>
      </c>
      <c r="J98" s="1372"/>
      <c r="K98" s="1372"/>
    </row>
    <row r="99" spans="1:11" ht="15.75" thickBot="1" x14ac:dyDescent="0.3">
      <c r="A99" s="1374"/>
      <c r="B99" s="1374"/>
      <c r="C99" s="1374"/>
      <c r="D99" s="1374"/>
      <c r="E99" s="1374"/>
      <c r="F99" s="1374"/>
      <c r="G99" s="1374"/>
      <c r="H99" s="1374"/>
      <c r="I99" s="1374"/>
      <c r="J99" s="1374"/>
      <c r="K99" s="1374"/>
    </row>
    <row r="100" spans="1:11" x14ac:dyDescent="0.25">
      <c r="A100" s="1328" t="s">
        <v>274</v>
      </c>
      <c r="B100" s="1378" t="s">
        <v>843</v>
      </c>
      <c r="C100" s="83" t="s">
        <v>808</v>
      </c>
      <c r="D100" s="1378" t="s">
        <v>844</v>
      </c>
      <c r="E100" s="83" t="s">
        <v>808</v>
      </c>
      <c r="F100" s="1378" t="s">
        <v>845</v>
      </c>
      <c r="G100" s="83" t="s">
        <v>808</v>
      </c>
      <c r="H100" s="1378" t="s">
        <v>724</v>
      </c>
      <c r="I100" s="83" t="s">
        <v>808</v>
      </c>
      <c r="J100" s="1378" t="s">
        <v>746</v>
      </c>
      <c r="K100" s="83" t="s">
        <v>808</v>
      </c>
    </row>
    <row r="101" spans="1:11" x14ac:dyDescent="0.25">
      <c r="A101" s="43">
        <v>0</v>
      </c>
      <c r="B101" s="1376"/>
      <c r="C101" s="1372">
        <f t="shared" ref="C101" si="81">B101</f>
        <v>0</v>
      </c>
      <c r="D101" s="1372"/>
      <c r="E101" s="1372">
        <f>D101</f>
        <v>0</v>
      </c>
      <c r="F101" s="1372"/>
      <c r="G101" s="1372">
        <f>F101</f>
        <v>0</v>
      </c>
      <c r="H101" s="1372"/>
      <c r="I101" s="1372">
        <f>H101</f>
        <v>0</v>
      </c>
      <c r="J101" s="1372"/>
      <c r="K101" s="1372">
        <f>J101</f>
        <v>0</v>
      </c>
    </row>
    <row r="102" spans="1:11" x14ac:dyDescent="0.25">
      <c r="A102" s="43">
        <v>1</v>
      </c>
      <c r="B102" s="1376"/>
      <c r="C102" s="1372">
        <f>B102+C101</f>
        <v>0</v>
      </c>
      <c r="D102" s="1372"/>
      <c r="E102" s="1372">
        <f t="shared" ref="E102" si="82">D102+E101</f>
        <v>0</v>
      </c>
      <c r="F102" s="1372"/>
      <c r="G102" s="1372">
        <f t="shared" ref="G102" si="83">F102+G101</f>
        <v>0</v>
      </c>
      <c r="H102" s="1372"/>
      <c r="I102" s="1372">
        <f t="shared" ref="I102" si="84">H102+I101</f>
        <v>0</v>
      </c>
      <c r="J102" s="1372"/>
      <c r="K102" s="1372">
        <f t="shared" ref="K102" si="85">J102+K101</f>
        <v>0</v>
      </c>
    </row>
    <row r="103" spans="1:11" x14ac:dyDescent="0.25">
      <c r="A103" s="43">
        <v>2</v>
      </c>
      <c r="B103" s="1372">
        <v>0.1</v>
      </c>
      <c r="C103" s="1372">
        <f>B103</f>
        <v>0.1</v>
      </c>
      <c r="D103" s="1372"/>
      <c r="E103" s="1372">
        <f>D103</f>
        <v>0</v>
      </c>
      <c r="F103" s="1372"/>
      <c r="G103" s="1372">
        <f>F103</f>
        <v>0</v>
      </c>
      <c r="H103" s="1376"/>
      <c r="I103" s="1376">
        <f>H103</f>
        <v>0</v>
      </c>
      <c r="J103" s="1372"/>
      <c r="K103" s="1372">
        <f>J103</f>
        <v>0</v>
      </c>
    </row>
    <row r="104" spans="1:11" x14ac:dyDescent="0.25">
      <c r="A104" s="43">
        <v>3</v>
      </c>
      <c r="B104" s="1372"/>
      <c r="C104" s="1372">
        <f>B104+C103</f>
        <v>0.1</v>
      </c>
      <c r="D104" s="1372">
        <v>0.1</v>
      </c>
      <c r="E104" s="1372">
        <f>D104+E103</f>
        <v>0.1</v>
      </c>
      <c r="F104" s="1372"/>
      <c r="G104" s="1372">
        <f>F104+G103</f>
        <v>0</v>
      </c>
      <c r="H104" s="1376"/>
      <c r="I104" s="1376">
        <f>H104+I103</f>
        <v>0</v>
      </c>
      <c r="J104" s="1372"/>
      <c r="K104" s="1372">
        <f>J104+K103</f>
        <v>0</v>
      </c>
    </row>
    <row r="105" spans="1:11" x14ac:dyDescent="0.25">
      <c r="A105" s="43">
        <v>4</v>
      </c>
      <c r="B105" s="1372"/>
      <c r="C105" s="1372">
        <f t="shared" ref="C105:C107" si="86">B105+C104</f>
        <v>0.1</v>
      </c>
      <c r="D105" s="1372"/>
      <c r="E105" s="1372">
        <f t="shared" ref="E105:E107" si="87">D105+E104</f>
        <v>0.1</v>
      </c>
      <c r="F105" s="1372">
        <v>0.1</v>
      </c>
      <c r="G105" s="1372">
        <f t="shared" ref="G105:G107" si="88">F105+G104</f>
        <v>0.1</v>
      </c>
      <c r="H105" s="1376"/>
      <c r="I105" s="1376">
        <f t="shared" ref="I105:I107" si="89">H105+I104</f>
        <v>0</v>
      </c>
      <c r="J105" s="1372"/>
      <c r="K105" s="1372">
        <f t="shared" ref="K105:K107" si="90">J105+K104</f>
        <v>0</v>
      </c>
    </row>
    <row r="106" spans="1:11" x14ac:dyDescent="0.25">
      <c r="A106" s="43">
        <v>5</v>
      </c>
      <c r="B106" s="1372"/>
      <c r="C106" s="1372">
        <f t="shared" si="86"/>
        <v>0.1</v>
      </c>
      <c r="D106" s="1372"/>
      <c r="E106" s="1372">
        <f t="shared" si="87"/>
        <v>0.1</v>
      </c>
      <c r="F106" s="1372"/>
      <c r="G106" s="1372">
        <f t="shared" si="88"/>
        <v>0.1</v>
      </c>
      <c r="H106" s="1376">
        <v>50</v>
      </c>
      <c r="I106" s="1376">
        <f t="shared" si="89"/>
        <v>50</v>
      </c>
      <c r="J106" s="1372"/>
      <c r="K106" s="1372">
        <f t="shared" si="90"/>
        <v>0</v>
      </c>
    </row>
    <row r="107" spans="1:11" ht="15.75" thickBot="1" x14ac:dyDescent="0.3">
      <c r="A107" s="43">
        <v>6</v>
      </c>
      <c r="B107" s="1372"/>
      <c r="C107" s="1372">
        <f t="shared" si="86"/>
        <v>0.1</v>
      </c>
      <c r="D107" s="1372"/>
      <c r="E107" s="1372">
        <f t="shared" si="87"/>
        <v>0.1</v>
      </c>
      <c r="F107" s="1372"/>
      <c r="G107" s="1372">
        <f t="shared" si="88"/>
        <v>0.1</v>
      </c>
      <c r="H107" s="1376"/>
      <c r="I107" s="1376">
        <f t="shared" si="89"/>
        <v>50</v>
      </c>
      <c r="J107" s="1372">
        <v>0.1</v>
      </c>
      <c r="K107" s="1372">
        <f t="shared" si="90"/>
        <v>0.1</v>
      </c>
    </row>
    <row r="108" spans="1:11" ht="15.75" thickBot="1" x14ac:dyDescent="0.3">
      <c r="A108" s="1374"/>
      <c r="B108" s="1374"/>
      <c r="C108" s="1374"/>
      <c r="D108" s="1374"/>
      <c r="E108" s="1374"/>
      <c r="F108" s="1374"/>
      <c r="G108" s="1374"/>
      <c r="H108" s="1374"/>
      <c r="I108" s="1374"/>
      <c r="J108" s="1374"/>
      <c r="K108" s="1374"/>
    </row>
    <row r="109" spans="1:11" x14ac:dyDescent="0.25">
      <c r="A109" s="1328" t="s">
        <v>823</v>
      </c>
      <c r="B109" s="1378" t="s">
        <v>838</v>
      </c>
      <c r="C109" s="83" t="s">
        <v>808</v>
      </c>
      <c r="D109" s="1378" t="s">
        <v>846</v>
      </c>
      <c r="E109" s="83" t="s">
        <v>808</v>
      </c>
      <c r="F109" s="1378" t="s">
        <v>847</v>
      </c>
      <c r="G109" s="83" t="s">
        <v>808</v>
      </c>
      <c r="H109" s="1378" t="s">
        <v>841</v>
      </c>
      <c r="I109" s="83" t="s">
        <v>808</v>
      </c>
      <c r="J109" s="1378" t="s">
        <v>848</v>
      </c>
      <c r="K109" s="83" t="s">
        <v>808</v>
      </c>
    </row>
    <row r="110" spans="1:11" x14ac:dyDescent="0.25">
      <c r="A110" s="43">
        <v>0</v>
      </c>
      <c r="B110" s="1376"/>
      <c r="C110" s="1372">
        <f t="shared" ref="C110" si="91">B110</f>
        <v>0</v>
      </c>
      <c r="D110" s="1372"/>
      <c r="E110" s="1372">
        <f>D110</f>
        <v>0</v>
      </c>
      <c r="F110" s="1372"/>
      <c r="G110" s="1372">
        <f>F110</f>
        <v>0</v>
      </c>
      <c r="H110" s="1372"/>
      <c r="I110" s="1372">
        <f>H110</f>
        <v>0</v>
      </c>
      <c r="J110" s="1372"/>
      <c r="K110" s="1372">
        <f>J110</f>
        <v>0</v>
      </c>
    </row>
    <row r="111" spans="1:11" x14ac:dyDescent="0.25">
      <c r="A111" s="43">
        <v>1</v>
      </c>
      <c r="B111" s="1376"/>
      <c r="C111" s="1372">
        <f>B111+C110</f>
        <v>0</v>
      </c>
      <c r="D111" s="1372"/>
      <c r="E111" s="1372">
        <f t="shared" ref="E111" si="92">D111+E110</f>
        <v>0</v>
      </c>
      <c r="F111" s="1372"/>
      <c r="G111" s="1372">
        <f t="shared" ref="G111" si="93">F111+G110</f>
        <v>0</v>
      </c>
      <c r="H111" s="1372"/>
      <c r="I111" s="1372">
        <f t="shared" ref="I111" si="94">H111+I110</f>
        <v>0</v>
      </c>
      <c r="J111" s="1372"/>
      <c r="K111" s="1372">
        <f t="shared" ref="K111" si="95">J111+K110</f>
        <v>0</v>
      </c>
    </row>
    <row r="112" spans="1:11" x14ac:dyDescent="0.25">
      <c r="A112" s="43">
        <v>2</v>
      </c>
      <c r="B112" s="1376">
        <v>40</v>
      </c>
      <c r="C112" s="1376">
        <f>B112</f>
        <v>40</v>
      </c>
      <c r="D112" s="1372"/>
      <c r="E112" s="1372">
        <f>D112</f>
        <v>0</v>
      </c>
      <c r="F112" s="1376"/>
      <c r="G112" s="1376">
        <f>F112</f>
        <v>0</v>
      </c>
      <c r="H112" s="1372"/>
      <c r="I112" s="1372">
        <f>H112</f>
        <v>0</v>
      </c>
      <c r="J112" s="1372"/>
      <c r="K112" s="1372">
        <f>J112</f>
        <v>0</v>
      </c>
    </row>
    <row r="113" spans="1:11" x14ac:dyDescent="0.25">
      <c r="A113" s="43">
        <v>3</v>
      </c>
      <c r="B113" s="1376"/>
      <c r="C113" s="1376">
        <f>B113+C112</f>
        <v>40</v>
      </c>
      <c r="D113" s="1372">
        <v>0.15</v>
      </c>
      <c r="E113" s="1372">
        <f>D113+E112</f>
        <v>0.15</v>
      </c>
      <c r="F113" s="1376"/>
      <c r="G113" s="1376">
        <f>F113+G112</f>
        <v>0</v>
      </c>
      <c r="H113" s="1372"/>
      <c r="I113" s="1372">
        <f>H113+I112</f>
        <v>0</v>
      </c>
      <c r="J113" s="1372"/>
      <c r="K113" s="1372">
        <f>J113+K112</f>
        <v>0</v>
      </c>
    </row>
    <row r="114" spans="1:11" x14ac:dyDescent="0.25">
      <c r="A114" s="43">
        <v>4</v>
      </c>
      <c r="B114" s="1376"/>
      <c r="C114" s="1376">
        <f t="shared" ref="C114:C116" si="96">B114+C113</f>
        <v>40</v>
      </c>
      <c r="D114" s="1372"/>
      <c r="E114" s="1372">
        <f t="shared" ref="E114:E116" si="97">D114+E113</f>
        <v>0.15</v>
      </c>
      <c r="F114" s="1376">
        <v>-1</v>
      </c>
      <c r="G114" s="1376">
        <f t="shared" ref="G114:G116" si="98">F114+G113</f>
        <v>-1</v>
      </c>
      <c r="H114" s="1372"/>
      <c r="I114" s="1372">
        <f t="shared" ref="I114:I116" si="99">H114+I113</f>
        <v>0</v>
      </c>
      <c r="J114" s="1372"/>
      <c r="K114" s="1372">
        <f t="shared" ref="K114:K116" si="100">J114+K113</f>
        <v>0</v>
      </c>
    </row>
    <row r="115" spans="1:11" x14ac:dyDescent="0.25">
      <c r="A115" s="43">
        <v>5</v>
      </c>
      <c r="B115" s="1376"/>
      <c r="C115" s="1376">
        <f t="shared" si="96"/>
        <v>40</v>
      </c>
      <c r="D115" s="1372"/>
      <c r="E115" s="1372">
        <f t="shared" si="97"/>
        <v>0.15</v>
      </c>
      <c r="F115" s="1376"/>
      <c r="G115" s="1376">
        <f t="shared" si="98"/>
        <v>-1</v>
      </c>
      <c r="H115" s="1372">
        <v>0.12</v>
      </c>
      <c r="I115" s="1372">
        <f t="shared" si="99"/>
        <v>0.12</v>
      </c>
      <c r="J115" s="1372"/>
      <c r="K115" s="1372">
        <f t="shared" si="100"/>
        <v>0</v>
      </c>
    </row>
    <row r="116" spans="1:11" ht="15.75" thickBot="1" x14ac:dyDescent="0.3">
      <c r="A116" s="43">
        <v>6</v>
      </c>
      <c r="B116" s="1376"/>
      <c r="C116" s="1376">
        <f t="shared" si="96"/>
        <v>40</v>
      </c>
      <c r="D116" s="1372"/>
      <c r="E116" s="1372">
        <f t="shared" si="97"/>
        <v>0.15</v>
      </c>
      <c r="F116" s="1376"/>
      <c r="G116" s="1376">
        <f t="shared" si="98"/>
        <v>-1</v>
      </c>
      <c r="H116" s="1372"/>
      <c r="I116" s="1372">
        <f t="shared" si="99"/>
        <v>0.12</v>
      </c>
      <c r="J116" s="1372">
        <v>0.12</v>
      </c>
      <c r="K116" s="1372">
        <f t="shared" si="100"/>
        <v>0.12</v>
      </c>
    </row>
    <row r="117" spans="1:11" ht="15.75" thickBot="1" x14ac:dyDescent="0.3">
      <c r="A117" s="1374"/>
      <c r="B117" s="1374"/>
      <c r="C117" s="1374"/>
      <c r="D117" s="1374"/>
      <c r="E117" s="1374"/>
      <c r="F117" s="1374"/>
      <c r="G117" s="1374"/>
      <c r="H117" s="1374"/>
      <c r="I117" s="1374"/>
      <c r="J117" s="1374"/>
      <c r="K117" s="1374"/>
    </row>
    <row r="118" spans="1:11" x14ac:dyDescent="0.25">
      <c r="A118" s="1328" t="s">
        <v>849</v>
      </c>
      <c r="B118" s="1378" t="s">
        <v>850</v>
      </c>
      <c r="C118" s="83" t="s">
        <v>808</v>
      </c>
      <c r="D118" s="1378" t="s">
        <v>851</v>
      </c>
      <c r="E118" s="83" t="s">
        <v>808</v>
      </c>
      <c r="F118" s="1378" t="s">
        <v>852</v>
      </c>
      <c r="G118" s="83" t="s">
        <v>808</v>
      </c>
      <c r="H118" s="1378" t="s">
        <v>853</v>
      </c>
      <c r="I118" s="83" t="s">
        <v>808</v>
      </c>
      <c r="J118" s="1378"/>
      <c r="K118" s="83"/>
    </row>
    <row r="119" spans="1:11" x14ac:dyDescent="0.25">
      <c r="A119" s="43">
        <v>0</v>
      </c>
      <c r="B119" s="1376"/>
      <c r="C119" s="1372">
        <f t="shared" ref="C119" si="101">B119</f>
        <v>0</v>
      </c>
      <c r="D119" s="1372"/>
      <c r="E119" s="1372">
        <f>D119</f>
        <v>0</v>
      </c>
      <c r="F119" s="1372"/>
      <c r="G119" s="1372">
        <f>F119</f>
        <v>0</v>
      </c>
      <c r="H119" s="1372"/>
      <c r="I119" s="1372">
        <f>H119</f>
        <v>0</v>
      </c>
      <c r="J119" s="1372"/>
      <c r="K119" s="1372">
        <f>J119</f>
        <v>0</v>
      </c>
    </row>
    <row r="120" spans="1:11" x14ac:dyDescent="0.25">
      <c r="A120" s="43">
        <v>1</v>
      </c>
      <c r="B120" s="1376"/>
      <c r="C120" s="1372">
        <f>B120+C119</f>
        <v>0</v>
      </c>
      <c r="D120" s="1372"/>
      <c r="E120" s="1372">
        <f t="shared" ref="E120" si="102">D120+E119</f>
        <v>0</v>
      </c>
      <c r="F120" s="1372"/>
      <c r="G120" s="1372">
        <f t="shared" ref="G120" si="103">F120+G119</f>
        <v>0</v>
      </c>
      <c r="H120" s="1372"/>
      <c r="I120" s="1372">
        <f t="shared" ref="I120" si="104">H120+I119</f>
        <v>0</v>
      </c>
      <c r="J120" s="1372"/>
      <c r="K120" s="1372">
        <f t="shared" ref="K120" si="105">J120+K119</f>
        <v>0</v>
      </c>
    </row>
    <row r="121" spans="1:11" x14ac:dyDescent="0.25">
      <c r="A121" s="43">
        <v>2</v>
      </c>
      <c r="B121" s="1372">
        <v>-0.1</v>
      </c>
      <c r="C121" s="1372">
        <f>B121</f>
        <v>-0.1</v>
      </c>
      <c r="D121" s="1372"/>
      <c r="E121" s="1372">
        <f>D121</f>
        <v>0</v>
      </c>
      <c r="F121" s="1372"/>
      <c r="G121" s="1372">
        <f>F121</f>
        <v>0</v>
      </c>
      <c r="H121" s="1372"/>
      <c r="I121" s="1372">
        <f>H121</f>
        <v>0</v>
      </c>
      <c r="J121" s="1372"/>
      <c r="K121" s="1372"/>
    </row>
    <row r="122" spans="1:11" x14ac:dyDescent="0.25">
      <c r="A122" s="43">
        <v>3</v>
      </c>
      <c r="B122" s="1372"/>
      <c r="C122" s="1372">
        <f>B122+C121</f>
        <v>-0.1</v>
      </c>
      <c r="D122" s="1372">
        <v>0.05</v>
      </c>
      <c r="E122" s="1372">
        <f>D122+E121</f>
        <v>0.05</v>
      </c>
      <c r="F122" s="1372"/>
      <c r="G122" s="1372">
        <f>F122+G121</f>
        <v>0</v>
      </c>
      <c r="H122" s="1372"/>
      <c r="I122" s="1372">
        <f>H122+I121</f>
        <v>0</v>
      </c>
      <c r="J122" s="1372"/>
      <c r="K122" s="1372"/>
    </row>
    <row r="123" spans="1:11" x14ac:dyDescent="0.25">
      <c r="A123" s="43">
        <v>4</v>
      </c>
      <c r="B123" s="1372"/>
      <c r="C123" s="1372">
        <f t="shared" ref="C123:C125" si="106">B123+C122</f>
        <v>-0.1</v>
      </c>
      <c r="D123" s="1372"/>
      <c r="E123" s="1372">
        <f t="shared" ref="E123:E125" si="107">D123+E122</f>
        <v>0.05</v>
      </c>
      <c r="F123" s="1372">
        <v>-0.1</v>
      </c>
      <c r="G123" s="1372">
        <f t="shared" ref="G123:G125" si="108">F123+G122</f>
        <v>-0.1</v>
      </c>
      <c r="H123" s="1372"/>
      <c r="I123" s="1372">
        <f t="shared" ref="I123:I125" si="109">H123+I122</f>
        <v>0</v>
      </c>
      <c r="J123" s="1372"/>
      <c r="K123" s="1372"/>
    </row>
    <row r="124" spans="1:11" x14ac:dyDescent="0.25">
      <c r="A124" s="43">
        <v>5</v>
      </c>
      <c r="B124" s="1372"/>
      <c r="C124" s="1372">
        <f t="shared" si="106"/>
        <v>-0.1</v>
      </c>
      <c r="D124" s="1372">
        <v>0.1</v>
      </c>
      <c r="E124" s="1372">
        <f t="shared" si="107"/>
        <v>0.15000000000000002</v>
      </c>
      <c r="F124" s="1372"/>
      <c r="G124" s="1372">
        <f t="shared" si="108"/>
        <v>-0.1</v>
      </c>
      <c r="H124" s="1372"/>
      <c r="I124" s="1372">
        <f t="shared" si="109"/>
        <v>0</v>
      </c>
      <c r="J124" s="1372"/>
      <c r="K124" s="1372"/>
    </row>
    <row r="125" spans="1:11" ht="15.75" thickBot="1" x14ac:dyDescent="0.3">
      <c r="A125" s="43">
        <v>6</v>
      </c>
      <c r="B125" s="1372"/>
      <c r="C125" s="1372">
        <f t="shared" si="106"/>
        <v>-0.1</v>
      </c>
      <c r="D125" s="1372"/>
      <c r="E125" s="1372">
        <f t="shared" si="107"/>
        <v>0.15000000000000002</v>
      </c>
      <c r="F125" s="1372"/>
      <c r="G125" s="1372">
        <f t="shared" si="108"/>
        <v>-0.1</v>
      </c>
      <c r="H125" s="1372">
        <v>0.25</v>
      </c>
      <c r="I125" s="1372">
        <f t="shared" si="109"/>
        <v>0.25</v>
      </c>
      <c r="J125" s="1372"/>
      <c r="K125" s="1372"/>
    </row>
    <row r="126" spans="1:11" ht="15.75" thickBot="1" x14ac:dyDescent="0.3">
      <c r="A126" s="1374"/>
      <c r="B126" s="1374"/>
      <c r="C126" s="1374"/>
      <c r="D126" s="1374"/>
      <c r="E126" s="1374"/>
      <c r="F126" s="1374"/>
      <c r="G126" s="1374"/>
      <c r="H126" s="1374"/>
      <c r="I126" s="1374"/>
      <c r="J126" s="1374"/>
      <c r="K126" s="1374"/>
    </row>
    <row r="127" spans="1:11" x14ac:dyDescent="0.25">
      <c r="A127" s="1379" t="s">
        <v>406</v>
      </c>
      <c r="B127" s="1378" t="s">
        <v>71</v>
      </c>
      <c r="C127" s="83" t="s">
        <v>808</v>
      </c>
      <c r="D127" s="83"/>
      <c r="E127" s="83"/>
      <c r="F127" s="83"/>
      <c r="G127" s="83"/>
      <c r="H127" s="83"/>
      <c r="I127" s="83"/>
      <c r="J127" s="83"/>
      <c r="K127" s="83"/>
    </row>
    <row r="128" spans="1:11" x14ac:dyDescent="0.25">
      <c r="A128" s="43">
        <v>0</v>
      </c>
      <c r="B128" s="1376"/>
      <c r="C128" s="1372">
        <f t="shared" ref="C128" si="110">B128</f>
        <v>0</v>
      </c>
      <c r="D128" s="1372"/>
      <c r="E128" s="1372">
        <f>D128</f>
        <v>0</v>
      </c>
      <c r="F128" s="1372"/>
      <c r="G128" s="1372">
        <f>F128</f>
        <v>0</v>
      </c>
      <c r="H128" s="1372"/>
      <c r="I128" s="1372">
        <f>H128</f>
        <v>0</v>
      </c>
      <c r="J128" s="1372"/>
      <c r="K128" s="1372">
        <f>J128</f>
        <v>0</v>
      </c>
    </row>
    <row r="129" spans="1:11" x14ac:dyDescent="0.25">
      <c r="A129" s="43">
        <v>1</v>
      </c>
      <c r="B129" s="1376"/>
      <c r="C129" s="1372">
        <f>B129+C128</f>
        <v>0</v>
      </c>
      <c r="D129" s="1372"/>
      <c r="E129" s="1372">
        <f t="shared" ref="E129" si="111">D129+E128</f>
        <v>0</v>
      </c>
      <c r="F129" s="1372"/>
      <c r="G129" s="1372">
        <f t="shared" ref="G129" si="112">F129+G128</f>
        <v>0</v>
      </c>
      <c r="H129" s="1372"/>
      <c r="I129" s="1372">
        <f t="shared" ref="I129" si="113">H129+I128</f>
        <v>0</v>
      </c>
      <c r="J129" s="1372"/>
      <c r="K129" s="1372">
        <f t="shared" ref="K129" si="114">J129+K128</f>
        <v>0</v>
      </c>
    </row>
    <row r="130" spans="1:11" x14ac:dyDescent="0.25">
      <c r="A130" s="43">
        <v>2</v>
      </c>
      <c r="B130" s="1372">
        <v>0.01</v>
      </c>
      <c r="C130" s="1372">
        <f>B130</f>
        <v>0.01</v>
      </c>
    </row>
    <row r="131" spans="1:11" x14ac:dyDescent="0.25">
      <c r="A131" s="43">
        <v>3</v>
      </c>
      <c r="B131" s="1372">
        <v>0.02</v>
      </c>
      <c r="C131" s="1372">
        <f>B131+C130</f>
        <v>0.03</v>
      </c>
    </row>
    <row r="132" spans="1:11" x14ac:dyDescent="0.25">
      <c r="A132" s="43">
        <v>4</v>
      </c>
      <c r="B132" s="1372">
        <v>0.03</v>
      </c>
      <c r="C132" s="1372">
        <f t="shared" ref="C132:C134" si="115">B132+C131</f>
        <v>0.06</v>
      </c>
    </row>
    <row r="133" spans="1:11" x14ac:dyDescent="0.25">
      <c r="A133" s="43">
        <v>5</v>
      </c>
      <c r="B133" s="1372">
        <v>0.04</v>
      </c>
      <c r="C133" s="1372">
        <f t="shared" si="115"/>
        <v>0.1</v>
      </c>
    </row>
    <row r="134" spans="1:11" ht="15.75" thickBot="1" x14ac:dyDescent="0.3">
      <c r="A134" s="43">
        <v>6</v>
      </c>
      <c r="B134" s="1372">
        <v>0.05</v>
      </c>
      <c r="C134" s="1372">
        <f t="shared" si="115"/>
        <v>0.15000000000000002</v>
      </c>
    </row>
    <row r="135" spans="1:11" ht="15.75" thickBot="1" x14ac:dyDescent="0.3">
      <c r="A135" s="1374"/>
      <c r="B135" s="1374"/>
      <c r="C135" s="1374"/>
      <c r="D135" s="1374"/>
      <c r="E135" s="1374"/>
      <c r="F135" s="1374"/>
      <c r="G135" s="1374"/>
      <c r="H135" s="1374"/>
      <c r="I135" s="1374"/>
      <c r="J135" s="1374"/>
      <c r="K135" s="1374"/>
    </row>
    <row r="136" spans="1:11" x14ac:dyDescent="0.25">
      <c r="A136" s="1328" t="s">
        <v>408</v>
      </c>
      <c r="B136" s="1378" t="s">
        <v>724</v>
      </c>
      <c r="C136" s="83" t="s">
        <v>808</v>
      </c>
      <c r="D136" s="1378" t="s">
        <v>450</v>
      </c>
      <c r="E136" s="83" t="s">
        <v>808</v>
      </c>
      <c r="F136" s="1378" t="s">
        <v>34</v>
      </c>
      <c r="G136" s="83" t="s">
        <v>808</v>
      </c>
      <c r="H136" s="1378"/>
      <c r="I136" s="83"/>
      <c r="J136" s="83"/>
      <c r="K136" s="83"/>
    </row>
    <row r="137" spans="1:11" x14ac:dyDescent="0.25">
      <c r="A137" s="43">
        <v>0</v>
      </c>
      <c r="B137" s="1376"/>
      <c r="C137" s="1372">
        <f t="shared" ref="C137" si="116">B137</f>
        <v>0</v>
      </c>
      <c r="D137" s="1372"/>
      <c r="E137" s="1372">
        <f>D137</f>
        <v>0</v>
      </c>
      <c r="F137" s="1372"/>
      <c r="G137" s="1372">
        <f>F137</f>
        <v>0</v>
      </c>
      <c r="H137" s="1372"/>
      <c r="I137" s="1372">
        <f>H137</f>
        <v>0</v>
      </c>
      <c r="J137" s="1372"/>
      <c r="K137" s="1372">
        <f>J137</f>
        <v>0</v>
      </c>
    </row>
    <row r="138" spans="1:11" x14ac:dyDescent="0.25">
      <c r="A138" s="43">
        <v>1</v>
      </c>
      <c r="B138" s="1376"/>
      <c r="C138" s="1372">
        <f>B138+C137</f>
        <v>0</v>
      </c>
      <c r="D138" s="1372"/>
      <c r="E138" s="1372">
        <f t="shared" ref="E138" si="117">D138+E137</f>
        <v>0</v>
      </c>
      <c r="F138" s="1372"/>
      <c r="G138" s="1372">
        <f t="shared" ref="G138" si="118">F138+G137</f>
        <v>0</v>
      </c>
      <c r="H138" s="1372"/>
      <c r="I138" s="1372">
        <f t="shared" ref="I138" si="119">H138+I137</f>
        <v>0</v>
      </c>
      <c r="J138" s="1372"/>
      <c r="K138" s="1372">
        <f t="shared" ref="K138" si="120">J138+K137</f>
        <v>0</v>
      </c>
    </row>
    <row r="139" spans="1:11" x14ac:dyDescent="0.25">
      <c r="A139" s="43">
        <v>2</v>
      </c>
      <c r="B139" s="1376">
        <v>40</v>
      </c>
      <c r="C139" s="1376">
        <f>B139</f>
        <v>40</v>
      </c>
      <c r="D139" s="1376"/>
      <c r="E139" s="1376">
        <f>D139</f>
        <v>0</v>
      </c>
      <c r="F139" s="1372"/>
      <c r="G139" s="1372">
        <f>F139</f>
        <v>0</v>
      </c>
      <c r="H139" s="1372"/>
      <c r="I139" s="1372"/>
    </row>
    <row r="140" spans="1:11" x14ac:dyDescent="0.25">
      <c r="A140" s="43">
        <v>3</v>
      </c>
      <c r="B140" s="1376"/>
      <c r="C140" s="1376">
        <f>B140+C139</f>
        <v>40</v>
      </c>
      <c r="D140" s="1376">
        <v>-1</v>
      </c>
      <c r="E140" s="1376">
        <f>D140+E139</f>
        <v>-1</v>
      </c>
      <c r="F140" s="1372"/>
      <c r="G140" s="1372">
        <f>F140+G139</f>
        <v>0</v>
      </c>
      <c r="H140" s="1372"/>
      <c r="I140" s="1372"/>
    </row>
    <row r="141" spans="1:11" x14ac:dyDescent="0.25">
      <c r="A141" s="43">
        <v>4</v>
      </c>
      <c r="B141" s="1376"/>
      <c r="C141" s="1376">
        <f t="shared" ref="C141:C143" si="121">B141+C140</f>
        <v>40</v>
      </c>
      <c r="D141" s="1376"/>
      <c r="E141" s="1376">
        <f t="shared" ref="E141:E143" si="122">D141+E140</f>
        <v>-1</v>
      </c>
      <c r="F141" s="1372">
        <v>0.1</v>
      </c>
      <c r="G141" s="1372">
        <f t="shared" ref="G141:G143" si="123">F141+G140</f>
        <v>0.1</v>
      </c>
      <c r="H141" s="1372"/>
      <c r="I141" s="1372"/>
    </row>
    <row r="142" spans="1:11" x14ac:dyDescent="0.25">
      <c r="A142" s="43">
        <v>5</v>
      </c>
      <c r="B142" s="1376"/>
      <c r="C142" s="1376">
        <f t="shared" si="121"/>
        <v>40</v>
      </c>
      <c r="D142" s="1376">
        <v>-2</v>
      </c>
      <c r="E142" s="1376">
        <f t="shared" si="122"/>
        <v>-3</v>
      </c>
      <c r="F142" s="1372"/>
      <c r="G142" s="1372">
        <f t="shared" si="123"/>
        <v>0.1</v>
      </c>
      <c r="H142" s="1372"/>
      <c r="I142" s="1372"/>
    </row>
    <row r="143" spans="1:11" ht="15.75" thickBot="1" x14ac:dyDescent="0.3">
      <c r="A143" s="43">
        <v>6</v>
      </c>
      <c r="B143" s="1376"/>
      <c r="C143" s="1376">
        <f t="shared" si="121"/>
        <v>40</v>
      </c>
      <c r="D143" s="1376"/>
      <c r="E143" s="1376">
        <f t="shared" si="122"/>
        <v>-3</v>
      </c>
      <c r="F143" s="1372">
        <v>0.15</v>
      </c>
      <c r="G143" s="1372">
        <f t="shared" si="123"/>
        <v>0.25</v>
      </c>
      <c r="H143" s="1372"/>
      <c r="I143" s="1372"/>
    </row>
    <row r="144" spans="1:11" ht="15.75" thickBot="1" x14ac:dyDescent="0.3">
      <c r="A144" s="1374"/>
      <c r="B144" s="1374"/>
      <c r="C144" s="1374"/>
      <c r="D144" s="1374"/>
      <c r="E144" s="1374"/>
      <c r="F144" s="1374"/>
      <c r="G144" s="1374"/>
      <c r="H144" s="1374"/>
      <c r="I144" s="1374"/>
      <c r="J144" s="1374"/>
      <c r="K144" s="1374"/>
    </row>
    <row r="145" spans="1:11" x14ac:dyDescent="0.25">
      <c r="A145" s="1328" t="s">
        <v>269</v>
      </c>
      <c r="B145" s="1378" t="s">
        <v>571</v>
      </c>
      <c r="C145" s="83" t="s">
        <v>808</v>
      </c>
      <c r="D145" s="1378" t="s">
        <v>565</v>
      </c>
      <c r="E145" s="83" t="s">
        <v>808</v>
      </c>
      <c r="F145" s="1378" t="s">
        <v>854</v>
      </c>
      <c r="G145" s="83" t="s">
        <v>808</v>
      </c>
      <c r="H145" s="1378" t="s">
        <v>855</v>
      </c>
      <c r="I145" s="83" t="s">
        <v>808</v>
      </c>
      <c r="J145" s="1378" t="s">
        <v>831</v>
      </c>
      <c r="K145" s="83" t="s">
        <v>808</v>
      </c>
    </row>
    <row r="146" spans="1:11" x14ac:dyDescent="0.25">
      <c r="A146" s="43">
        <v>0</v>
      </c>
      <c r="B146" s="1376"/>
      <c r="C146" s="1372">
        <f t="shared" ref="C146" si="124">B146</f>
        <v>0</v>
      </c>
      <c r="D146" s="1372"/>
      <c r="E146" s="1372">
        <f>D146</f>
        <v>0</v>
      </c>
      <c r="F146" s="1372"/>
      <c r="G146" s="1372">
        <f>F146</f>
        <v>0</v>
      </c>
      <c r="H146" s="1372"/>
      <c r="I146" s="1372">
        <f>H146</f>
        <v>0</v>
      </c>
      <c r="J146" s="1372"/>
      <c r="K146" s="1372">
        <f>J146</f>
        <v>0</v>
      </c>
    </row>
    <row r="147" spans="1:11" x14ac:dyDescent="0.25">
      <c r="A147" s="43">
        <v>1</v>
      </c>
      <c r="B147" s="1376"/>
      <c r="C147" s="1372">
        <f>B147+C146</f>
        <v>0</v>
      </c>
      <c r="D147" s="1372"/>
      <c r="E147" s="1372">
        <f t="shared" ref="E147" si="125">D147+E146</f>
        <v>0</v>
      </c>
      <c r="F147" s="1372"/>
      <c r="G147" s="1372">
        <f t="shared" ref="G147" si="126">F147+G146</f>
        <v>0</v>
      </c>
      <c r="H147" s="1372"/>
      <c r="I147" s="1372">
        <f t="shared" ref="I147" si="127">H147+I146</f>
        <v>0</v>
      </c>
      <c r="J147" s="1372"/>
      <c r="K147" s="1372">
        <f t="shared" ref="K147" si="128">J147+K146</f>
        <v>0</v>
      </c>
    </row>
    <row r="148" spans="1:11" x14ac:dyDescent="0.25">
      <c r="A148" s="43">
        <v>2</v>
      </c>
      <c r="B148" s="1372">
        <v>0.2</v>
      </c>
      <c r="C148" s="1372">
        <f>B148</f>
        <v>0.2</v>
      </c>
      <c r="D148" s="1376"/>
      <c r="E148" s="1376">
        <f>D148</f>
        <v>0</v>
      </c>
      <c r="F148" s="1372"/>
      <c r="G148" s="1372">
        <f>F148</f>
        <v>0</v>
      </c>
      <c r="H148" s="1372"/>
      <c r="I148" s="1372">
        <f>H148</f>
        <v>0</v>
      </c>
      <c r="J148" s="1372"/>
      <c r="K148" s="1372">
        <f>J148</f>
        <v>0</v>
      </c>
    </row>
    <row r="149" spans="1:11" x14ac:dyDescent="0.25">
      <c r="A149" s="43">
        <v>3</v>
      </c>
      <c r="B149" s="1372"/>
      <c r="C149" s="1372">
        <f>B149+C148</f>
        <v>0.2</v>
      </c>
      <c r="D149" s="1376">
        <v>-1</v>
      </c>
      <c r="E149" s="1376">
        <f>D149+E148</f>
        <v>-1</v>
      </c>
      <c r="F149" s="1372"/>
      <c r="G149" s="1372">
        <f>F149+G148</f>
        <v>0</v>
      </c>
      <c r="H149" s="1372"/>
      <c r="I149" s="1372">
        <f>H149+I148</f>
        <v>0</v>
      </c>
      <c r="J149" s="1372"/>
      <c r="K149" s="1372">
        <f>J149+K148</f>
        <v>0</v>
      </c>
    </row>
    <row r="150" spans="1:11" x14ac:dyDescent="0.25">
      <c r="A150" s="43">
        <v>4</v>
      </c>
      <c r="B150" s="1372"/>
      <c r="C150" s="1372">
        <f t="shared" ref="C150:C152" si="129">B150+C149</f>
        <v>0.2</v>
      </c>
      <c r="D150" s="1376"/>
      <c r="E150" s="1376">
        <f t="shared" ref="E150:E152" si="130">D150+E149</f>
        <v>-1</v>
      </c>
      <c r="F150" s="1372">
        <v>-0.25</v>
      </c>
      <c r="G150" s="1372">
        <f t="shared" ref="G150:G152" si="131">F150+G149</f>
        <v>-0.25</v>
      </c>
      <c r="H150" s="1372"/>
      <c r="I150" s="1372">
        <f t="shared" ref="I150:I152" si="132">H150+I149</f>
        <v>0</v>
      </c>
      <c r="J150" s="1372"/>
      <c r="K150" s="1372">
        <f t="shared" ref="K150:K152" si="133">J150+K149</f>
        <v>0</v>
      </c>
    </row>
    <row r="151" spans="1:11" x14ac:dyDescent="0.25">
      <c r="A151" s="43">
        <v>5</v>
      </c>
      <c r="B151" s="1372"/>
      <c r="C151" s="1372">
        <f t="shared" si="129"/>
        <v>0.2</v>
      </c>
      <c r="D151" s="1376"/>
      <c r="E151" s="1376">
        <f t="shared" si="130"/>
        <v>-1</v>
      </c>
      <c r="F151" s="1372"/>
      <c r="G151" s="1372">
        <f t="shared" si="131"/>
        <v>-0.25</v>
      </c>
      <c r="H151" s="1372">
        <v>0.25</v>
      </c>
      <c r="I151" s="1372">
        <f t="shared" si="132"/>
        <v>0.25</v>
      </c>
      <c r="J151" s="1372"/>
      <c r="K151" s="1372">
        <f t="shared" si="133"/>
        <v>0</v>
      </c>
    </row>
    <row r="152" spans="1:11" ht="15.75" thickBot="1" x14ac:dyDescent="0.3">
      <c r="A152" s="43">
        <v>6</v>
      </c>
      <c r="B152" s="1372"/>
      <c r="C152" s="1372">
        <f t="shared" si="129"/>
        <v>0.2</v>
      </c>
      <c r="D152" s="1376"/>
      <c r="E152" s="1376">
        <f t="shared" si="130"/>
        <v>-1</v>
      </c>
      <c r="F152" s="1372"/>
      <c r="G152" s="1372">
        <f t="shared" si="131"/>
        <v>-0.25</v>
      </c>
      <c r="H152" s="1372"/>
      <c r="I152" s="1372">
        <f t="shared" si="132"/>
        <v>0.25</v>
      </c>
      <c r="J152" s="1372">
        <v>-0.5</v>
      </c>
      <c r="K152" s="1372">
        <f t="shared" si="133"/>
        <v>-0.5</v>
      </c>
    </row>
    <row r="153" spans="1:11" ht="15.75" thickBot="1" x14ac:dyDescent="0.3">
      <c r="A153" s="1373"/>
      <c r="B153" s="1374"/>
      <c r="C153" s="1374"/>
      <c r="D153" s="1374"/>
      <c r="E153" s="1374"/>
      <c r="F153" s="1374"/>
      <c r="G153" s="1374"/>
      <c r="H153" s="1374"/>
      <c r="I153" s="1374"/>
      <c r="J153" s="1374"/>
      <c r="K153" s="1375"/>
    </row>
    <row r="154" spans="1:11" x14ac:dyDescent="0.25">
      <c r="A154" s="1380" t="s">
        <v>272</v>
      </c>
      <c r="B154" s="1381" t="s">
        <v>856</v>
      </c>
      <c r="C154" s="1382" t="s">
        <v>808</v>
      </c>
      <c r="D154" s="1381" t="s">
        <v>827</v>
      </c>
      <c r="E154" s="1382" t="s">
        <v>808</v>
      </c>
      <c r="F154" s="1381" t="s">
        <v>857</v>
      </c>
      <c r="G154" s="1382" t="s">
        <v>808</v>
      </c>
      <c r="H154" s="1381" t="s">
        <v>858</v>
      </c>
      <c r="I154" s="1382" t="s">
        <v>808</v>
      </c>
      <c r="J154" s="1381" t="s">
        <v>422</v>
      </c>
      <c r="K154" s="1382" t="s">
        <v>808</v>
      </c>
    </row>
    <row r="155" spans="1:11" x14ac:dyDescent="0.25">
      <c r="A155" s="43">
        <v>0</v>
      </c>
      <c r="B155" s="1376"/>
      <c r="C155" s="1372">
        <f>B155</f>
        <v>0</v>
      </c>
      <c r="D155" s="1372"/>
      <c r="E155" s="1372">
        <f>D155</f>
        <v>0</v>
      </c>
      <c r="F155" s="1372"/>
      <c r="G155" s="1372">
        <f>F155</f>
        <v>0</v>
      </c>
      <c r="H155" s="1372"/>
      <c r="I155" s="1372">
        <f>H155</f>
        <v>0</v>
      </c>
      <c r="J155" s="1372"/>
      <c r="K155" s="1372">
        <f>J155</f>
        <v>0</v>
      </c>
    </row>
    <row r="156" spans="1:11" x14ac:dyDescent="0.25">
      <c r="A156" s="43">
        <v>1</v>
      </c>
      <c r="B156" s="1376"/>
      <c r="C156" s="1372">
        <f>B156+C155</f>
        <v>0</v>
      </c>
      <c r="D156" s="1372"/>
      <c r="E156" s="1372">
        <f t="shared" ref="E156" si="134">D156+E155</f>
        <v>0</v>
      </c>
      <c r="F156" s="1372"/>
      <c r="G156" s="1372">
        <f t="shared" ref="G156" si="135">F156+G155</f>
        <v>0</v>
      </c>
      <c r="H156" s="1372"/>
      <c r="I156" s="1372">
        <f t="shared" ref="I156" si="136">H156+I155</f>
        <v>0</v>
      </c>
      <c r="J156" s="1372"/>
      <c r="K156" s="1372">
        <f t="shared" ref="K156" si="137">J156+K155</f>
        <v>0</v>
      </c>
    </row>
    <row r="157" spans="1:11" x14ac:dyDescent="0.25">
      <c r="A157" s="43">
        <v>2</v>
      </c>
      <c r="B157" s="1376">
        <v>-1</v>
      </c>
      <c r="C157" s="1376">
        <f>B157</f>
        <v>-1</v>
      </c>
      <c r="D157" s="1372"/>
      <c r="E157" s="1372">
        <f>D157</f>
        <v>0</v>
      </c>
      <c r="F157" s="1372"/>
      <c r="G157" s="1372">
        <f>F157</f>
        <v>0</v>
      </c>
      <c r="H157" s="1372"/>
      <c r="I157" s="1372">
        <f>H157</f>
        <v>0</v>
      </c>
      <c r="J157" s="1372"/>
      <c r="K157" s="1372">
        <f>J157</f>
        <v>0</v>
      </c>
    </row>
    <row r="158" spans="1:11" x14ac:dyDescent="0.25">
      <c r="A158" s="43">
        <v>3</v>
      </c>
      <c r="B158" s="1376"/>
      <c r="C158" s="1376">
        <f>B158+C157</f>
        <v>-1</v>
      </c>
      <c r="D158" s="1372">
        <v>0.15</v>
      </c>
      <c r="E158" s="1372">
        <f>D158+E157</f>
        <v>0.15</v>
      </c>
      <c r="F158" s="1372"/>
      <c r="G158" s="1372">
        <f>F158+G157</f>
        <v>0</v>
      </c>
      <c r="H158" s="1372"/>
      <c r="I158" s="1372">
        <f>H158+I157</f>
        <v>0</v>
      </c>
      <c r="J158" s="1372"/>
      <c r="K158" s="1372">
        <f>J158+K157</f>
        <v>0</v>
      </c>
    </row>
    <row r="159" spans="1:11" x14ac:dyDescent="0.25">
      <c r="A159" s="43">
        <v>4</v>
      </c>
      <c r="B159" s="1376"/>
      <c r="C159" s="1376">
        <f t="shared" ref="C159:C161" si="138">B159+C158</f>
        <v>-1</v>
      </c>
      <c r="D159" s="1372"/>
      <c r="E159" s="1372">
        <f t="shared" ref="E159:E161" si="139">D159+E158</f>
        <v>0.15</v>
      </c>
      <c r="F159" s="1372">
        <v>0.15</v>
      </c>
      <c r="G159" s="1372">
        <f t="shared" ref="G159:G161" si="140">F159+G158</f>
        <v>0.15</v>
      </c>
      <c r="H159" s="1372"/>
      <c r="I159" s="1372">
        <f t="shared" ref="I159:I161" si="141">H159+I158</f>
        <v>0</v>
      </c>
      <c r="J159" s="1372"/>
      <c r="K159" s="1372">
        <f t="shared" ref="K159:K161" si="142">J159+K158</f>
        <v>0</v>
      </c>
    </row>
    <row r="160" spans="1:11" x14ac:dyDescent="0.25">
      <c r="A160" s="43">
        <v>5</v>
      </c>
      <c r="B160" s="1376"/>
      <c r="C160" s="1376">
        <f t="shared" si="138"/>
        <v>-1</v>
      </c>
      <c r="D160" s="1372"/>
      <c r="E160" s="1372">
        <f t="shared" si="139"/>
        <v>0.15</v>
      </c>
      <c r="F160" s="1372"/>
      <c r="G160" s="1372">
        <f t="shared" si="140"/>
        <v>0.15</v>
      </c>
      <c r="H160" s="1372">
        <v>0.15</v>
      </c>
      <c r="I160" s="1372">
        <f t="shared" si="141"/>
        <v>0.15</v>
      </c>
      <c r="J160" s="1372"/>
      <c r="K160" s="1372">
        <f t="shared" si="142"/>
        <v>0</v>
      </c>
    </row>
    <row r="161" spans="1:11" ht="15.75" thickBot="1" x14ac:dyDescent="0.3">
      <c r="A161" s="43">
        <v>6</v>
      </c>
      <c r="B161" s="1376"/>
      <c r="C161" s="1376">
        <f t="shared" si="138"/>
        <v>-1</v>
      </c>
      <c r="D161" s="1372"/>
      <c r="E161" s="1372">
        <f t="shared" si="139"/>
        <v>0.15</v>
      </c>
      <c r="F161" s="1372"/>
      <c r="G161" s="1372">
        <f t="shared" si="140"/>
        <v>0.15</v>
      </c>
      <c r="H161" s="1372"/>
      <c r="I161" s="1372">
        <f t="shared" si="141"/>
        <v>0.15</v>
      </c>
      <c r="J161" s="1372">
        <v>0.15</v>
      </c>
      <c r="K161" s="1372">
        <f t="shared" si="142"/>
        <v>0.15</v>
      </c>
    </row>
    <row r="162" spans="1:11" ht="15.75" thickBot="1" x14ac:dyDescent="0.3">
      <c r="A162" s="1374"/>
      <c r="B162" s="1374"/>
      <c r="C162" s="1374"/>
      <c r="D162" s="1374"/>
      <c r="E162" s="1374"/>
      <c r="F162" s="1374"/>
      <c r="G162" s="1374"/>
      <c r="H162" s="1374"/>
      <c r="I162" s="1374"/>
      <c r="J162" s="1374"/>
      <c r="K162" s="1374"/>
    </row>
    <row r="163" spans="1:11" x14ac:dyDescent="0.25">
      <c r="A163" s="1328" t="s">
        <v>416</v>
      </c>
      <c r="B163" s="1378" t="s">
        <v>571</v>
      </c>
      <c r="C163" s="83" t="s">
        <v>808</v>
      </c>
      <c r="D163" s="1378" t="s">
        <v>565</v>
      </c>
      <c r="E163" s="83" t="s">
        <v>808</v>
      </c>
      <c r="F163" s="1378" t="s">
        <v>854</v>
      </c>
      <c r="G163" s="83" t="s">
        <v>808</v>
      </c>
      <c r="H163" s="1378" t="s">
        <v>855</v>
      </c>
      <c r="I163" s="83" t="s">
        <v>808</v>
      </c>
      <c r="J163" s="1378" t="s">
        <v>831</v>
      </c>
      <c r="K163" s="83" t="s">
        <v>808</v>
      </c>
    </row>
    <row r="164" spans="1:11" x14ac:dyDescent="0.25">
      <c r="A164" s="43">
        <v>0</v>
      </c>
      <c r="B164" s="1376"/>
      <c r="C164" s="1372">
        <f>B164</f>
        <v>0</v>
      </c>
      <c r="D164" s="1372"/>
      <c r="E164" s="1376">
        <f>D164</f>
        <v>0</v>
      </c>
      <c r="F164" s="1372"/>
      <c r="G164" s="1372">
        <f>F164</f>
        <v>0</v>
      </c>
      <c r="H164" s="1372"/>
      <c r="I164" s="1372">
        <f>H164</f>
        <v>0</v>
      </c>
      <c r="J164" s="1372"/>
      <c r="K164" s="1372">
        <f>J164</f>
        <v>0</v>
      </c>
    </row>
    <row r="165" spans="1:11" x14ac:dyDescent="0.25">
      <c r="A165" s="43">
        <v>1</v>
      </c>
      <c r="B165" s="1376"/>
      <c r="C165" s="1372">
        <f>B165+C164</f>
        <v>0</v>
      </c>
      <c r="D165" s="1372"/>
      <c r="E165" s="1376">
        <f>D165+E164</f>
        <v>0</v>
      </c>
      <c r="F165" s="1372"/>
      <c r="G165" s="1372">
        <f>F165+G164</f>
        <v>0</v>
      </c>
      <c r="H165" s="1372"/>
      <c r="I165" s="1372">
        <f>H165+I164</f>
        <v>0</v>
      </c>
      <c r="J165" s="1372"/>
      <c r="K165" s="1372">
        <f>J165+K164</f>
        <v>0</v>
      </c>
    </row>
    <row r="166" spans="1:11" x14ac:dyDescent="0.25">
      <c r="A166" s="43">
        <v>2</v>
      </c>
      <c r="B166" s="1372">
        <v>0.2</v>
      </c>
      <c r="C166" s="1372">
        <f t="shared" ref="C166:C170" si="143">B166+C165</f>
        <v>0.2</v>
      </c>
      <c r="D166" s="1372"/>
      <c r="E166" s="1376">
        <f t="shared" ref="E166:E170" si="144">D166+E165</f>
        <v>0</v>
      </c>
      <c r="F166" s="1372"/>
      <c r="G166" s="1372">
        <f t="shared" ref="G166:G170" si="145">F166+G165</f>
        <v>0</v>
      </c>
      <c r="H166" s="1372"/>
      <c r="I166" s="1372">
        <f t="shared" ref="I166:I170" si="146">H166+I165</f>
        <v>0</v>
      </c>
      <c r="J166" s="1372"/>
      <c r="K166" s="1372">
        <f t="shared" ref="K166:K170" si="147">J166+K165</f>
        <v>0</v>
      </c>
    </row>
    <row r="167" spans="1:11" x14ac:dyDescent="0.25">
      <c r="A167" s="43">
        <v>3</v>
      </c>
      <c r="B167" s="1376"/>
      <c r="C167" s="1372">
        <f t="shared" si="143"/>
        <v>0.2</v>
      </c>
      <c r="D167" s="1376">
        <v>-1</v>
      </c>
      <c r="E167" s="1376">
        <f t="shared" si="144"/>
        <v>-1</v>
      </c>
      <c r="F167" s="1372"/>
      <c r="G167" s="1372">
        <f t="shared" si="145"/>
        <v>0</v>
      </c>
      <c r="H167" s="1372"/>
      <c r="I167" s="1372">
        <f t="shared" si="146"/>
        <v>0</v>
      </c>
      <c r="J167" s="1372"/>
      <c r="K167" s="1372">
        <f t="shared" si="147"/>
        <v>0</v>
      </c>
    </row>
    <row r="168" spans="1:11" x14ac:dyDescent="0.25">
      <c r="A168" s="43">
        <v>4</v>
      </c>
      <c r="B168" s="1376"/>
      <c r="C168" s="1372">
        <f t="shared" si="143"/>
        <v>0.2</v>
      </c>
      <c r="D168" s="1372"/>
      <c r="E168" s="1376">
        <f t="shared" si="144"/>
        <v>-1</v>
      </c>
      <c r="F168" s="1372">
        <v>-0.25</v>
      </c>
      <c r="G168" s="1372">
        <f t="shared" si="145"/>
        <v>-0.25</v>
      </c>
      <c r="H168" s="1372"/>
      <c r="I168" s="1372">
        <f t="shared" si="146"/>
        <v>0</v>
      </c>
      <c r="J168" s="1372"/>
      <c r="K168" s="1372">
        <f t="shared" si="147"/>
        <v>0</v>
      </c>
    </row>
    <row r="169" spans="1:11" x14ac:dyDescent="0.25">
      <c r="A169" s="43">
        <v>5</v>
      </c>
      <c r="B169" s="1376"/>
      <c r="C169" s="1372">
        <f t="shared" si="143"/>
        <v>0.2</v>
      </c>
      <c r="D169" s="1372"/>
      <c r="E169" s="1376">
        <f t="shared" si="144"/>
        <v>-1</v>
      </c>
      <c r="F169" s="1372"/>
      <c r="G169" s="1372">
        <f t="shared" si="145"/>
        <v>-0.25</v>
      </c>
      <c r="H169" s="1372">
        <v>0.25</v>
      </c>
      <c r="I169" s="1372">
        <f t="shared" si="146"/>
        <v>0.25</v>
      </c>
      <c r="J169" s="1372"/>
      <c r="K169" s="1372">
        <f t="shared" si="147"/>
        <v>0</v>
      </c>
    </row>
    <row r="170" spans="1:11" ht="15.75" thickBot="1" x14ac:dyDescent="0.3">
      <c r="A170" s="43">
        <v>6</v>
      </c>
      <c r="B170" s="1376"/>
      <c r="C170" s="1372">
        <f t="shared" si="143"/>
        <v>0.2</v>
      </c>
      <c r="D170" s="1372"/>
      <c r="E170" s="1376">
        <f t="shared" si="144"/>
        <v>-1</v>
      </c>
      <c r="F170" s="1372"/>
      <c r="G170" s="1372">
        <f t="shared" si="145"/>
        <v>-0.25</v>
      </c>
      <c r="H170" s="1372"/>
      <c r="I170" s="1372">
        <f t="shared" si="146"/>
        <v>0.25</v>
      </c>
      <c r="J170" s="1372">
        <v>-0.5</v>
      </c>
      <c r="K170" s="1372">
        <f t="shared" si="147"/>
        <v>-0.5</v>
      </c>
    </row>
    <row r="171" spans="1:11" ht="15.75" thickBot="1" x14ac:dyDescent="0.3">
      <c r="A171" s="1374"/>
      <c r="B171" s="1374"/>
      <c r="C171" s="1374"/>
      <c r="D171" s="1374"/>
      <c r="E171" s="1374"/>
      <c r="F171" s="1374"/>
      <c r="G171" s="1374"/>
      <c r="H171" s="1374"/>
      <c r="I171" s="1374"/>
      <c r="J171" s="1374"/>
      <c r="K171" s="1374"/>
    </row>
    <row r="172" spans="1:11" x14ac:dyDescent="0.25">
      <c r="A172" s="1379" t="s">
        <v>409</v>
      </c>
      <c r="B172" s="1378" t="s">
        <v>855</v>
      </c>
      <c r="C172" s="83" t="s">
        <v>808</v>
      </c>
      <c r="D172" s="83"/>
      <c r="E172" s="83"/>
      <c r="F172" s="83"/>
      <c r="G172" s="83"/>
      <c r="H172" s="83"/>
      <c r="I172" s="83"/>
      <c r="J172" s="83"/>
      <c r="K172" s="83"/>
    </row>
    <row r="173" spans="1:11" x14ac:dyDescent="0.25">
      <c r="A173" s="43">
        <v>0</v>
      </c>
      <c r="B173" s="1376"/>
      <c r="C173" s="1372">
        <f t="shared" ref="C173" si="148">B173</f>
        <v>0</v>
      </c>
      <c r="D173" s="1372"/>
      <c r="E173" s="1372">
        <f>D173</f>
        <v>0</v>
      </c>
      <c r="F173" s="1372"/>
      <c r="G173" s="1372">
        <f>F173</f>
        <v>0</v>
      </c>
      <c r="H173" s="1372"/>
      <c r="I173" s="1372">
        <f>H173</f>
        <v>0</v>
      </c>
      <c r="J173" s="1372"/>
      <c r="K173" s="1372">
        <f>J173</f>
        <v>0</v>
      </c>
    </row>
    <row r="174" spans="1:11" x14ac:dyDescent="0.25">
      <c r="A174" s="43">
        <v>1</v>
      </c>
      <c r="B174" s="1376"/>
      <c r="C174" s="1372">
        <f>B174+C173</f>
        <v>0</v>
      </c>
      <c r="D174" s="1372"/>
      <c r="E174" s="1372">
        <f t="shared" ref="E174" si="149">D174+E173</f>
        <v>0</v>
      </c>
      <c r="F174" s="1372"/>
      <c r="G174" s="1372">
        <f t="shared" ref="G174" si="150">F174+G173</f>
        <v>0</v>
      </c>
      <c r="H174" s="1372"/>
      <c r="I174" s="1372">
        <f t="shared" ref="I174" si="151">H174+I173</f>
        <v>0</v>
      </c>
      <c r="J174" s="1372"/>
      <c r="K174" s="1372">
        <f t="shared" ref="K174" si="152">J174+K173</f>
        <v>0</v>
      </c>
    </row>
    <row r="175" spans="1:11" x14ac:dyDescent="0.25">
      <c r="A175" s="43">
        <v>2</v>
      </c>
      <c r="B175" s="1372">
        <v>0.06</v>
      </c>
      <c r="C175" s="1372">
        <f>B175</f>
        <v>0.06</v>
      </c>
    </row>
    <row r="176" spans="1:11" x14ac:dyDescent="0.25">
      <c r="A176" s="43">
        <v>3</v>
      </c>
      <c r="B176" s="1372">
        <v>7.0000000000000007E-2</v>
      </c>
      <c r="C176" s="1372">
        <f>B176+C175</f>
        <v>0.13</v>
      </c>
    </row>
    <row r="177" spans="1:11" x14ac:dyDescent="0.25">
      <c r="A177" s="43">
        <v>4</v>
      </c>
      <c r="B177" s="1372">
        <v>0.08</v>
      </c>
      <c r="C177" s="1372">
        <f t="shared" ref="C177:C179" si="153">B177+C176</f>
        <v>0.21000000000000002</v>
      </c>
    </row>
    <row r="178" spans="1:11" x14ac:dyDescent="0.25">
      <c r="A178" s="43">
        <v>5</v>
      </c>
      <c r="B178" s="1372">
        <v>0.09</v>
      </c>
      <c r="C178" s="1372">
        <f t="shared" si="153"/>
        <v>0.30000000000000004</v>
      </c>
    </row>
    <row r="179" spans="1:11" ht="15.75" thickBot="1" x14ac:dyDescent="0.3">
      <c r="A179" s="43">
        <v>6</v>
      </c>
      <c r="B179" s="1372">
        <v>0.1</v>
      </c>
      <c r="C179" s="1372">
        <f t="shared" si="153"/>
        <v>0.4</v>
      </c>
    </row>
    <row r="180" spans="1:11" ht="15.75" thickBot="1" x14ac:dyDescent="0.3">
      <c r="A180" s="1374"/>
      <c r="B180" s="1374"/>
      <c r="C180" s="1374"/>
      <c r="D180" s="1374"/>
      <c r="E180" s="1374"/>
      <c r="F180" s="1374"/>
      <c r="G180" s="1374"/>
      <c r="H180" s="1374"/>
      <c r="I180" s="1374"/>
      <c r="J180" s="1374"/>
      <c r="K180" s="1374"/>
    </row>
    <row r="181" spans="1:11" x14ac:dyDescent="0.25">
      <c r="A181" s="1328" t="s">
        <v>407</v>
      </c>
      <c r="B181" s="1378" t="s">
        <v>859</v>
      </c>
      <c r="C181" s="83" t="s">
        <v>808</v>
      </c>
      <c r="D181" s="1378" t="s">
        <v>856</v>
      </c>
      <c r="E181" s="83" t="s">
        <v>808</v>
      </c>
      <c r="F181" s="1378" t="s">
        <v>842</v>
      </c>
      <c r="G181" s="83" t="s">
        <v>808</v>
      </c>
      <c r="H181" s="1378" t="s">
        <v>31</v>
      </c>
      <c r="I181" s="83" t="s">
        <v>808</v>
      </c>
      <c r="J181" s="1378"/>
      <c r="K181" s="83"/>
    </row>
    <row r="182" spans="1:11" x14ac:dyDescent="0.25">
      <c r="A182" s="43">
        <v>0</v>
      </c>
      <c r="B182" s="1376"/>
      <c r="C182" s="1372">
        <f t="shared" ref="C182" si="154">B182</f>
        <v>0</v>
      </c>
      <c r="D182" s="1372"/>
      <c r="E182" s="1372">
        <f>D182</f>
        <v>0</v>
      </c>
      <c r="F182" s="1372"/>
      <c r="G182" s="1372">
        <f>F182</f>
        <v>0</v>
      </c>
      <c r="H182" s="1372"/>
      <c r="I182" s="1372">
        <f>H182</f>
        <v>0</v>
      </c>
      <c r="J182" s="1372"/>
      <c r="K182" s="1372">
        <f>J182</f>
        <v>0</v>
      </c>
    </row>
    <row r="183" spans="1:11" x14ac:dyDescent="0.25">
      <c r="A183" s="43">
        <v>1</v>
      </c>
      <c r="B183" s="1376"/>
      <c r="C183" s="1372">
        <f>B183+C182</f>
        <v>0</v>
      </c>
      <c r="D183" s="1372"/>
      <c r="E183" s="1372">
        <f t="shared" ref="E183" si="155">D183+E182</f>
        <v>0</v>
      </c>
      <c r="F183" s="1372"/>
      <c r="G183" s="1372">
        <f t="shared" ref="G183" si="156">F183+G182</f>
        <v>0</v>
      </c>
      <c r="H183" s="1372"/>
      <c r="I183" s="1372">
        <f t="shared" ref="I183" si="157">H183+I182</f>
        <v>0</v>
      </c>
      <c r="J183" s="1372"/>
      <c r="K183" s="1372">
        <f t="shared" ref="K183" si="158">J183+K182</f>
        <v>0</v>
      </c>
    </row>
    <row r="184" spans="1:11" x14ac:dyDescent="0.25">
      <c r="A184" s="43">
        <v>2</v>
      </c>
      <c r="B184" s="1376">
        <v>-2</v>
      </c>
      <c r="C184" s="1376">
        <f>B184</f>
        <v>-2</v>
      </c>
      <c r="D184" s="1376"/>
      <c r="E184" s="1376">
        <f>D184</f>
        <v>0</v>
      </c>
      <c r="F184" s="1376"/>
      <c r="G184" s="1376">
        <f>F184</f>
        <v>0</v>
      </c>
      <c r="H184" s="1376"/>
      <c r="I184" s="1376">
        <f>H184</f>
        <v>0</v>
      </c>
      <c r="J184" s="1372"/>
      <c r="K184" s="1372"/>
    </row>
    <row r="185" spans="1:11" x14ac:dyDescent="0.25">
      <c r="A185" s="43">
        <v>3</v>
      </c>
      <c r="B185" s="1376"/>
      <c r="C185" s="1376">
        <f>B185+C184</f>
        <v>-2</v>
      </c>
      <c r="D185" s="1376">
        <v>-1</v>
      </c>
      <c r="E185" s="1376">
        <f>D185+E184</f>
        <v>-1</v>
      </c>
      <c r="F185" s="1376"/>
      <c r="G185" s="1376">
        <f>F185+G184</f>
        <v>0</v>
      </c>
      <c r="H185" s="1376"/>
      <c r="I185" s="1376">
        <f>H185+I184</f>
        <v>0</v>
      </c>
      <c r="J185" s="1372"/>
      <c r="K185" s="1372"/>
    </row>
    <row r="186" spans="1:11" x14ac:dyDescent="0.25">
      <c r="A186" s="43">
        <v>4</v>
      </c>
      <c r="B186" s="1376"/>
      <c r="C186" s="1376">
        <f t="shared" ref="C186:C188" si="159">B186+C185</f>
        <v>-2</v>
      </c>
      <c r="D186" s="1376"/>
      <c r="E186" s="1376">
        <f t="shared" ref="E186:E188" si="160">D186+E185</f>
        <v>-1</v>
      </c>
      <c r="F186" s="1376">
        <v>-1</v>
      </c>
      <c r="G186" s="1376">
        <f t="shared" ref="G186:G188" si="161">F186+G185</f>
        <v>-1</v>
      </c>
      <c r="H186" s="1376"/>
      <c r="I186" s="1376">
        <f t="shared" ref="I186:I188" si="162">H186+I185</f>
        <v>0</v>
      </c>
      <c r="J186" s="1372"/>
      <c r="K186" s="1372"/>
    </row>
    <row r="187" spans="1:11" x14ac:dyDescent="0.25">
      <c r="A187" s="43">
        <v>5</v>
      </c>
      <c r="B187" s="1376"/>
      <c r="C187" s="1376">
        <f t="shared" si="159"/>
        <v>-2</v>
      </c>
      <c r="D187" s="1376"/>
      <c r="E187" s="1376">
        <f t="shared" si="160"/>
        <v>-1</v>
      </c>
      <c r="F187" s="1376"/>
      <c r="G187" s="1376">
        <f t="shared" si="161"/>
        <v>-1</v>
      </c>
      <c r="H187" s="1376">
        <v>1</v>
      </c>
      <c r="I187" s="1376">
        <f t="shared" si="162"/>
        <v>1</v>
      </c>
      <c r="J187" s="1372"/>
      <c r="K187" s="1372"/>
    </row>
    <row r="188" spans="1:11" ht="15.75" thickBot="1" x14ac:dyDescent="0.3">
      <c r="A188" s="43">
        <v>6</v>
      </c>
      <c r="B188" s="1376"/>
      <c r="C188" s="1376">
        <f t="shared" si="159"/>
        <v>-2</v>
      </c>
      <c r="D188" s="1376"/>
      <c r="E188" s="1376">
        <f t="shared" si="160"/>
        <v>-1</v>
      </c>
      <c r="F188" s="1376"/>
      <c r="G188" s="1376">
        <f t="shared" si="161"/>
        <v>-1</v>
      </c>
      <c r="H188" s="1376">
        <v>2</v>
      </c>
      <c r="I188" s="1376">
        <f t="shared" si="162"/>
        <v>3</v>
      </c>
      <c r="J188" s="1372"/>
      <c r="K188" s="1372"/>
    </row>
    <row r="189" spans="1:11" ht="15.75" thickBot="1" x14ac:dyDescent="0.3">
      <c r="A189" s="1374"/>
      <c r="B189" s="1374"/>
      <c r="C189" s="1374"/>
      <c r="D189" s="1374"/>
      <c r="E189" s="1374"/>
      <c r="F189" s="1374"/>
      <c r="G189" s="1374"/>
      <c r="H189" s="1374"/>
      <c r="I189" s="1374"/>
      <c r="J189" s="1374"/>
      <c r="K189" s="1374"/>
    </row>
    <row r="190" spans="1:11" x14ac:dyDescent="0.25">
      <c r="A190" s="1379" t="s">
        <v>860</v>
      </c>
      <c r="B190" s="1378" t="s">
        <v>709</v>
      </c>
      <c r="C190" s="83" t="s">
        <v>808</v>
      </c>
      <c r="D190" s="1378" t="s">
        <v>251</v>
      </c>
      <c r="E190" s="83" t="s">
        <v>808</v>
      </c>
      <c r="F190" s="1378" t="s">
        <v>31</v>
      </c>
      <c r="G190" s="83" t="s">
        <v>808</v>
      </c>
      <c r="H190" s="1378" t="s">
        <v>253</v>
      </c>
      <c r="I190" s="83" t="s">
        <v>808</v>
      </c>
      <c r="J190" s="1378" t="s">
        <v>71</v>
      </c>
      <c r="K190" s="83" t="s">
        <v>808</v>
      </c>
    </row>
    <row r="191" spans="1:11" x14ac:dyDescent="0.25">
      <c r="A191" s="43">
        <v>0</v>
      </c>
      <c r="B191" s="1376"/>
      <c r="C191" s="1372">
        <f t="shared" ref="C191" si="163">B191</f>
        <v>0</v>
      </c>
      <c r="D191" s="1372"/>
      <c r="E191" s="1372">
        <f>D191</f>
        <v>0</v>
      </c>
      <c r="F191" s="1372"/>
      <c r="G191" s="1372">
        <f>F191</f>
        <v>0</v>
      </c>
      <c r="H191" s="1372"/>
      <c r="I191" s="1372">
        <f>H191</f>
        <v>0</v>
      </c>
      <c r="J191" s="1372"/>
      <c r="K191" s="1372">
        <f>J191</f>
        <v>0</v>
      </c>
    </row>
    <row r="192" spans="1:11" x14ac:dyDescent="0.25">
      <c r="A192" s="43">
        <v>1</v>
      </c>
      <c r="B192" s="1376"/>
      <c r="C192" s="1372">
        <f>B192+C191</f>
        <v>0</v>
      </c>
      <c r="D192" s="1372"/>
      <c r="E192" s="1372">
        <f t="shared" ref="E192" si="164">D192+E191</f>
        <v>0</v>
      </c>
      <c r="F192" s="1372"/>
      <c r="G192" s="1372">
        <f t="shared" ref="G192" si="165">F192+G191</f>
        <v>0</v>
      </c>
      <c r="H192" s="1372"/>
      <c r="I192" s="1372">
        <f t="shared" ref="I192" si="166">H192+I191</f>
        <v>0</v>
      </c>
      <c r="J192" s="1372"/>
      <c r="K192" s="1372">
        <f t="shared" ref="K192" si="167">J192+K191</f>
        <v>0</v>
      </c>
    </row>
    <row r="193" spans="1:11" x14ac:dyDescent="0.25">
      <c r="A193" s="43">
        <v>2</v>
      </c>
      <c r="B193" s="1372">
        <v>0.1</v>
      </c>
      <c r="C193" s="1372">
        <f>B193</f>
        <v>0.1</v>
      </c>
      <c r="D193" s="1372"/>
      <c r="E193" s="1372">
        <f>D193</f>
        <v>0</v>
      </c>
      <c r="F193" s="1376"/>
      <c r="G193" s="1376">
        <f>F193</f>
        <v>0</v>
      </c>
      <c r="H193" s="1372"/>
      <c r="I193" s="1372">
        <f>H193</f>
        <v>0</v>
      </c>
      <c r="J193" s="1372"/>
      <c r="K193" s="1372">
        <f>J193</f>
        <v>0</v>
      </c>
    </row>
    <row r="194" spans="1:11" x14ac:dyDescent="0.25">
      <c r="A194" s="43">
        <v>3</v>
      </c>
      <c r="B194" s="1372"/>
      <c r="C194" s="1372">
        <f>B194+C193</f>
        <v>0.1</v>
      </c>
      <c r="D194" s="1372">
        <v>0.25</v>
      </c>
      <c r="E194" s="1372">
        <f>D194+E193</f>
        <v>0.25</v>
      </c>
      <c r="F194" s="1376"/>
      <c r="G194" s="1376">
        <f>F194+G193</f>
        <v>0</v>
      </c>
      <c r="H194" s="1372"/>
      <c r="I194" s="1372">
        <f>H194+I193</f>
        <v>0</v>
      </c>
      <c r="J194" s="1372"/>
      <c r="K194" s="1372">
        <f>J194+K193</f>
        <v>0</v>
      </c>
    </row>
    <row r="195" spans="1:11" x14ac:dyDescent="0.25">
      <c r="A195" s="43">
        <v>4</v>
      </c>
      <c r="B195" s="1372"/>
      <c r="C195" s="1372">
        <f t="shared" ref="C195:C197" si="168">B195+C194</f>
        <v>0.1</v>
      </c>
      <c r="D195" s="1372"/>
      <c r="E195" s="1372">
        <f t="shared" ref="E195:E197" si="169">D195+E194</f>
        <v>0.25</v>
      </c>
      <c r="F195" s="1376">
        <v>1</v>
      </c>
      <c r="G195" s="1376">
        <f t="shared" ref="G195:G197" si="170">F195+G194</f>
        <v>1</v>
      </c>
      <c r="H195" s="1372"/>
      <c r="I195" s="1372">
        <f t="shared" ref="I195:I197" si="171">H195+I194</f>
        <v>0</v>
      </c>
      <c r="J195" s="1372"/>
      <c r="K195" s="1372">
        <f t="shared" ref="K195:K197" si="172">J195+K194</f>
        <v>0</v>
      </c>
    </row>
    <row r="196" spans="1:11" x14ac:dyDescent="0.25">
      <c r="A196" s="43">
        <v>5</v>
      </c>
      <c r="B196" s="1372"/>
      <c r="C196" s="1372">
        <f t="shared" si="168"/>
        <v>0.1</v>
      </c>
      <c r="D196" s="1372"/>
      <c r="E196" s="1372">
        <f t="shared" si="169"/>
        <v>0.25</v>
      </c>
      <c r="F196" s="1376"/>
      <c r="G196" s="1376">
        <f t="shared" si="170"/>
        <v>1</v>
      </c>
      <c r="H196" s="1372">
        <v>0.04</v>
      </c>
      <c r="I196" s="1372">
        <f t="shared" si="171"/>
        <v>0.04</v>
      </c>
      <c r="J196" s="1372">
        <v>0.04</v>
      </c>
      <c r="K196" s="1372">
        <f t="shared" si="172"/>
        <v>0.04</v>
      </c>
    </row>
    <row r="197" spans="1:11" ht="15.75" thickBot="1" x14ac:dyDescent="0.3">
      <c r="A197" s="43">
        <v>6</v>
      </c>
      <c r="B197" s="1372"/>
      <c r="C197" s="1372">
        <f t="shared" si="168"/>
        <v>0.1</v>
      </c>
      <c r="D197" s="1372"/>
      <c r="E197" s="1372">
        <f t="shared" si="169"/>
        <v>0.25</v>
      </c>
      <c r="F197" s="1376"/>
      <c r="G197" s="1376">
        <f t="shared" si="170"/>
        <v>1</v>
      </c>
      <c r="H197" s="1372"/>
      <c r="I197" s="1372">
        <f t="shared" si="171"/>
        <v>0.04</v>
      </c>
      <c r="J197" s="1372"/>
      <c r="K197" s="1372">
        <f t="shared" si="172"/>
        <v>0.04</v>
      </c>
    </row>
    <row r="198" spans="1:11" ht="15.75" thickBot="1" x14ac:dyDescent="0.3">
      <c r="A198" s="1374"/>
      <c r="B198" s="1374"/>
      <c r="C198" s="1374"/>
      <c r="D198" s="1374"/>
      <c r="E198" s="1374"/>
      <c r="F198" s="1374"/>
      <c r="G198" s="1374"/>
      <c r="H198" s="1374"/>
      <c r="I198" s="1374"/>
      <c r="J198" s="1374"/>
      <c r="K198" s="1374"/>
    </row>
    <row r="199" spans="1:11" x14ac:dyDescent="0.25">
      <c r="A199" s="1328" t="s">
        <v>821</v>
      </c>
      <c r="B199" s="1378" t="s">
        <v>861</v>
      </c>
      <c r="C199" s="83" t="s">
        <v>808</v>
      </c>
      <c r="D199" s="1378" t="s">
        <v>435</v>
      </c>
      <c r="E199" s="83" t="s">
        <v>808</v>
      </c>
      <c r="F199" s="1378" t="s">
        <v>862</v>
      </c>
      <c r="G199" s="83" t="s">
        <v>808</v>
      </c>
      <c r="H199" s="1378" t="s">
        <v>863</v>
      </c>
      <c r="I199" s="83" t="s">
        <v>808</v>
      </c>
      <c r="J199" s="1378" t="s">
        <v>47</v>
      </c>
      <c r="K199" s="83" t="s">
        <v>808</v>
      </c>
    </row>
    <row r="200" spans="1:11" x14ac:dyDescent="0.25">
      <c r="A200" s="43">
        <v>0</v>
      </c>
      <c r="B200" s="1376"/>
      <c r="C200" s="1372">
        <f t="shared" ref="C200" si="173">B200</f>
        <v>0</v>
      </c>
      <c r="D200" s="1372"/>
      <c r="E200" s="1372">
        <f>D200</f>
        <v>0</v>
      </c>
      <c r="F200" s="1372"/>
      <c r="G200" s="1372">
        <f>F200</f>
        <v>0</v>
      </c>
      <c r="H200" s="1372"/>
      <c r="I200" s="1372">
        <f>H200</f>
        <v>0</v>
      </c>
      <c r="J200" s="1372"/>
      <c r="K200" s="1372">
        <f>J200</f>
        <v>0</v>
      </c>
    </row>
    <row r="201" spans="1:11" x14ac:dyDescent="0.25">
      <c r="A201" s="43">
        <v>1</v>
      </c>
      <c r="B201" s="1376"/>
      <c r="C201" s="1372">
        <f>B201+C200</f>
        <v>0</v>
      </c>
      <c r="D201" s="1372"/>
      <c r="E201" s="1372">
        <f t="shared" ref="E201" si="174">D201+E200</f>
        <v>0</v>
      </c>
      <c r="F201" s="1372"/>
      <c r="G201" s="1372">
        <f t="shared" ref="G201" si="175">F201+G200</f>
        <v>0</v>
      </c>
      <c r="H201" s="1372"/>
      <c r="I201" s="1372">
        <f t="shared" ref="I201" si="176">H201+I200</f>
        <v>0</v>
      </c>
      <c r="J201" s="1372"/>
      <c r="K201" s="1372">
        <f t="shared" ref="K201" si="177">J201+K200</f>
        <v>0</v>
      </c>
    </row>
    <row r="202" spans="1:11" x14ac:dyDescent="0.25">
      <c r="A202" s="43">
        <v>2</v>
      </c>
      <c r="B202" s="1376">
        <v>50</v>
      </c>
      <c r="C202" s="1376">
        <f>B202</f>
        <v>50</v>
      </c>
      <c r="D202" s="1372"/>
      <c r="E202" s="1372">
        <f>D202</f>
        <v>0</v>
      </c>
      <c r="F202" s="1372"/>
      <c r="G202" s="1372">
        <f>F202</f>
        <v>0</v>
      </c>
      <c r="H202" s="1372"/>
      <c r="I202" s="1372">
        <f>H202</f>
        <v>0</v>
      </c>
      <c r="J202" s="1372"/>
      <c r="K202" s="1372">
        <f>J202</f>
        <v>0</v>
      </c>
    </row>
    <row r="203" spans="1:11" x14ac:dyDescent="0.25">
      <c r="A203" s="43">
        <v>3</v>
      </c>
      <c r="B203" s="1376"/>
      <c r="C203" s="1376">
        <f>B203+C202</f>
        <v>50</v>
      </c>
      <c r="D203" s="1372">
        <v>0.05</v>
      </c>
      <c r="E203" s="1372">
        <f>D203+E202</f>
        <v>0.05</v>
      </c>
      <c r="F203" s="1372"/>
      <c r="G203" s="1372">
        <f>F203+G202</f>
        <v>0</v>
      </c>
      <c r="H203" s="1372"/>
      <c r="I203" s="1372">
        <f>H203+I202</f>
        <v>0</v>
      </c>
      <c r="J203" s="1372"/>
      <c r="K203" s="1372">
        <f>J203+K202</f>
        <v>0</v>
      </c>
    </row>
    <row r="204" spans="1:11" x14ac:dyDescent="0.25">
      <c r="A204" s="43">
        <v>4</v>
      </c>
      <c r="B204" s="1376"/>
      <c r="C204" s="1376">
        <f t="shared" ref="C204:C206" si="178">B204+C203</f>
        <v>50</v>
      </c>
      <c r="D204" s="1372"/>
      <c r="E204" s="1372">
        <f t="shared" ref="E204:E206" si="179">D204+E203</f>
        <v>0.05</v>
      </c>
      <c r="F204" s="1372">
        <v>0.15</v>
      </c>
      <c r="G204" s="1372">
        <f t="shared" ref="G204:G206" si="180">F204+G203</f>
        <v>0.15</v>
      </c>
      <c r="H204" s="1372"/>
      <c r="I204" s="1372">
        <f t="shared" ref="I204:I206" si="181">H204+I203</f>
        <v>0</v>
      </c>
      <c r="J204" s="1372"/>
      <c r="K204" s="1372">
        <f t="shared" ref="K204:K206" si="182">J204+K203</f>
        <v>0</v>
      </c>
    </row>
    <row r="205" spans="1:11" x14ac:dyDescent="0.25">
      <c r="A205" s="43">
        <v>5</v>
      </c>
      <c r="B205" s="1376"/>
      <c r="C205" s="1376">
        <f t="shared" si="178"/>
        <v>50</v>
      </c>
      <c r="D205" s="1372"/>
      <c r="E205" s="1372">
        <f t="shared" si="179"/>
        <v>0.05</v>
      </c>
      <c r="F205" s="1372"/>
      <c r="G205" s="1372">
        <f t="shared" si="180"/>
        <v>0.15</v>
      </c>
      <c r="H205" s="1372">
        <v>0.12</v>
      </c>
      <c r="I205" s="1372">
        <f t="shared" si="181"/>
        <v>0.12</v>
      </c>
      <c r="J205" s="1372"/>
      <c r="K205" s="1372">
        <f t="shared" si="182"/>
        <v>0</v>
      </c>
    </row>
    <row r="206" spans="1:11" x14ac:dyDescent="0.25">
      <c r="A206" s="43">
        <v>6</v>
      </c>
      <c r="B206" s="1376"/>
      <c r="C206" s="1376">
        <f t="shared" si="178"/>
        <v>50</v>
      </c>
      <c r="D206" s="1372"/>
      <c r="E206" s="1372">
        <f t="shared" si="179"/>
        <v>0.05</v>
      </c>
      <c r="F206" s="1372"/>
      <c r="G206" s="1372">
        <f t="shared" si="180"/>
        <v>0.15</v>
      </c>
      <c r="H206" s="1372"/>
      <c r="I206" s="1372">
        <f t="shared" si="181"/>
        <v>0.12</v>
      </c>
      <c r="J206" s="1372">
        <v>0.12</v>
      </c>
      <c r="K206" s="1372">
        <f t="shared" si="182"/>
        <v>0.12</v>
      </c>
    </row>
  </sheetData>
  <conditionalFormatting sqref="W1:XFD1 A1:K1 B2:J2 A3:J7 K2:XFD7 A8:XFD10 L11:XFD12 A13:B13 C12:C13 D13:XFD13 A14:XFD19 L20:XFD21 A22:B22 C21:C22 D22:XFD22 A23:XFD28 L29:XFD30 A31:B31 C30:C31 D31:F31 A32:F34 G31:XFD34 A35:XFD37 L38:XFD39 A40:XFD46 A49:XFD55 L47:XFD48 A58:XFD64 L56:XFD57 A67:XFD73 L65:XFD66 A76:XFD82 L74:XFD75 A85:XFD91 L83:XFD84 A94:XFD100 L92:XFD93 A103:XFD109 L101:XFD102 A112:XFD118 L110:XFD111 A121:XFD127 L119:XFD120 A130:XFD136 L128:XFD129 A139:XFD145 L137:XFD138 A148:XFD154 L146:XFD147 L155:XFD156 A171:XFD172 A175:XFD181 L173:XFD174 A184:XFD190 L182:XFD183 A193:XFD199 L191:XFD192 A202:XFD1048576 L200:XFD201 A166:B170 D166:D170 F166:F170 A157:XFD163 H166:H170 J166:J170 L164:XFD170">
    <cfRule type="cellIs" dxfId="1190" priority="31" operator="equal">
      <formula>0</formula>
    </cfRule>
  </conditionalFormatting>
  <conditionalFormatting sqref="B11:J11 A12:B12 K11:K12 D12:J12">
    <cfRule type="cellIs" dxfId="1189" priority="30" operator="equal">
      <formula>0</formula>
    </cfRule>
  </conditionalFormatting>
  <conditionalFormatting sqref="B20:J20 A21:B21 K20:K21 D21:J21">
    <cfRule type="cellIs" dxfId="1188" priority="28" operator="equal">
      <formula>0</formula>
    </cfRule>
  </conditionalFormatting>
  <conditionalFormatting sqref="B29:J29 A30:B30 K29:K30 D30:J30">
    <cfRule type="cellIs" dxfId="1187" priority="26" operator="equal">
      <formula>0</formula>
    </cfRule>
  </conditionalFormatting>
  <conditionalFormatting sqref="C39">
    <cfRule type="cellIs" dxfId="1186" priority="25" operator="equal">
      <formula>0</formula>
    </cfRule>
  </conditionalFormatting>
  <conditionalFormatting sqref="B38:J38 A39:B39 K38:K39 D39:J39">
    <cfRule type="cellIs" dxfId="1185" priority="24" operator="equal">
      <formula>0</formula>
    </cfRule>
  </conditionalFormatting>
  <conditionalFormatting sqref="B47:J47 A48:J48 K47:K48">
    <cfRule type="cellIs" dxfId="1184" priority="23" operator="equal">
      <formula>0</formula>
    </cfRule>
  </conditionalFormatting>
  <conditionalFormatting sqref="B56:J56 A57:J57 K56:K57">
    <cfRule type="cellIs" dxfId="1183" priority="22" operator="equal">
      <formula>0</formula>
    </cfRule>
  </conditionalFormatting>
  <conditionalFormatting sqref="B65:J65 A66:J66 K65:K66">
    <cfRule type="cellIs" dxfId="1182" priority="21" operator="equal">
      <formula>0</formula>
    </cfRule>
  </conditionalFormatting>
  <conditionalFormatting sqref="B74:J74 A75:J75 K74:K75">
    <cfRule type="cellIs" dxfId="1181" priority="20" operator="equal">
      <formula>0</formula>
    </cfRule>
  </conditionalFormatting>
  <conditionalFormatting sqref="B83:J83 A84:J84 K83:K84">
    <cfRule type="cellIs" dxfId="1180" priority="19" operator="equal">
      <formula>0</formula>
    </cfRule>
  </conditionalFormatting>
  <conditionalFormatting sqref="B92:J92 A93:J93 K92:K93">
    <cfRule type="cellIs" dxfId="1179" priority="18" operator="equal">
      <formula>0</formula>
    </cfRule>
  </conditionalFormatting>
  <conditionalFormatting sqref="B101:J101 A102:J102 K101:K102">
    <cfRule type="cellIs" dxfId="1178" priority="17" operator="equal">
      <formula>0</formula>
    </cfRule>
  </conditionalFormatting>
  <conditionalFormatting sqref="B110:J110 A111:J111 K110:K111">
    <cfRule type="cellIs" dxfId="1177" priority="16" operator="equal">
      <formula>0</formula>
    </cfRule>
  </conditionalFormatting>
  <conditionalFormatting sqref="B119:J119 A120:J120 K119:K120">
    <cfRule type="cellIs" dxfId="1176" priority="15" operator="equal">
      <formula>0</formula>
    </cfRule>
  </conditionalFormatting>
  <conditionalFormatting sqref="B128:J128 A129:J129 K128:K129">
    <cfRule type="cellIs" dxfId="1175" priority="14" operator="equal">
      <formula>0</formula>
    </cfRule>
  </conditionalFormatting>
  <conditionalFormatting sqref="B137:J137 A138:J138 K137:K138">
    <cfRule type="cellIs" dxfId="1174" priority="13" operator="equal">
      <formula>0</formula>
    </cfRule>
  </conditionalFormatting>
  <conditionalFormatting sqref="B146:J146 A147:J147 K146:K147">
    <cfRule type="cellIs" dxfId="1173" priority="12" operator="equal">
      <formula>0</formula>
    </cfRule>
  </conditionalFormatting>
  <conditionalFormatting sqref="B155:J155 A156:J156 K155:K156">
    <cfRule type="cellIs" dxfId="1172" priority="11" operator="equal">
      <formula>0</formula>
    </cfRule>
  </conditionalFormatting>
  <conditionalFormatting sqref="B164 D164 C166:C170 F164 E166:E170 H164 J164 A165:K165 G166:G170 I166:I170 K166:K170">
    <cfRule type="cellIs" dxfId="1171" priority="10" operator="equal">
      <formula>0</formula>
    </cfRule>
  </conditionalFormatting>
  <conditionalFormatting sqref="B173:J173 A174:J174 K173:K174">
    <cfRule type="cellIs" dxfId="1170" priority="9" operator="equal">
      <formula>0</formula>
    </cfRule>
  </conditionalFormatting>
  <conditionalFormatting sqref="B182:J182 A183:J183 K182:K183">
    <cfRule type="cellIs" dxfId="1169" priority="8" operator="equal">
      <formula>0</formula>
    </cfRule>
  </conditionalFormatting>
  <conditionalFormatting sqref="B191:J191 A192:J192 K191:K192">
    <cfRule type="cellIs" dxfId="1168" priority="7" operator="equal">
      <formula>0</formula>
    </cfRule>
  </conditionalFormatting>
  <conditionalFormatting sqref="B200:J200 A201:J201 K200:K201">
    <cfRule type="cellIs" dxfId="1167" priority="6" operator="equal">
      <formula>0</formula>
    </cfRule>
  </conditionalFormatting>
  <conditionalFormatting sqref="C164">
    <cfRule type="cellIs" dxfId="1166" priority="5" operator="equal">
      <formula>0</formula>
    </cfRule>
  </conditionalFormatting>
  <conditionalFormatting sqref="E164">
    <cfRule type="cellIs" dxfId="1165" priority="4" operator="equal">
      <formula>0</formula>
    </cfRule>
  </conditionalFormatting>
  <conditionalFormatting sqref="G164">
    <cfRule type="cellIs" dxfId="1164" priority="3" operator="equal">
      <formula>0</formula>
    </cfRule>
  </conditionalFormatting>
  <conditionalFormatting sqref="I164">
    <cfRule type="cellIs" dxfId="1163" priority="2" operator="equal">
      <formula>0</formula>
    </cfRule>
  </conditionalFormatting>
  <conditionalFormatting sqref="K164">
    <cfRule type="cellIs" dxfId="1162" priority="1" operator="equal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AK44"/>
  <sheetViews>
    <sheetView showGridLines="0" topLeftCell="A2" zoomScale="70" zoomScaleNormal="70" workbookViewId="0">
      <selection activeCell="W30" sqref="A1:XFD1048576"/>
    </sheetView>
  </sheetViews>
  <sheetFormatPr defaultRowHeight="17.25" customHeight="1" x14ac:dyDescent="0.25"/>
  <cols>
    <col min="1" max="1" width="12.28515625" style="1" customWidth="1"/>
    <col min="2" max="9" width="9.85546875" style="1" customWidth="1"/>
    <col min="10" max="21" width="3.28515625" style="1" customWidth="1"/>
    <col min="22" max="28" width="9.85546875" style="1" customWidth="1"/>
    <col min="29" max="29" width="9.5703125" style="1" customWidth="1"/>
    <col min="30" max="31" width="9.140625" style="1"/>
    <col min="32" max="32" width="9.7109375" style="1" customWidth="1"/>
    <col min="33" max="33" width="18.5703125" style="1" customWidth="1"/>
    <col min="34" max="16384" width="9.140625" style="1"/>
  </cols>
  <sheetData>
    <row r="1" spans="1:37" ht="17.25" customHeight="1" thickBot="1" x14ac:dyDescent="0.3">
      <c r="A1" s="1665" t="s">
        <v>65</v>
      </c>
      <c r="B1" s="1652"/>
      <c r="C1" s="1652"/>
      <c r="D1" s="1652"/>
      <c r="E1" s="1652"/>
      <c r="F1" s="1652"/>
      <c r="G1" s="1652"/>
      <c r="H1" s="1652"/>
      <c r="I1" s="1652"/>
      <c r="J1" s="1652"/>
      <c r="K1" s="1652"/>
      <c r="L1" s="1652"/>
      <c r="M1" s="1652"/>
      <c r="N1" s="1652"/>
      <c r="O1" s="1653"/>
      <c r="P1" s="1570"/>
      <c r="Q1" s="1651" t="s">
        <v>245</v>
      </c>
      <c r="R1" s="1651"/>
      <c r="S1" s="1651"/>
      <c r="T1" s="1651"/>
      <c r="U1" s="1651"/>
      <c r="V1" s="1652"/>
      <c r="W1" s="1652"/>
      <c r="X1" s="1652"/>
      <c r="Y1" s="1652"/>
      <c r="Z1" s="1652"/>
      <c r="AA1" s="1652"/>
      <c r="AB1" s="1653"/>
      <c r="AC1" s="1631" t="s">
        <v>682</v>
      </c>
      <c r="AD1" s="1610"/>
      <c r="AE1" s="1610"/>
      <c r="AF1" s="1610"/>
      <c r="AG1" s="1526" t="s">
        <v>917</v>
      </c>
      <c r="AH1" s="1727" t="str">
        <f>Навыки!M6</f>
        <v>Ураган</v>
      </c>
      <c r="AI1" s="1727"/>
      <c r="AJ1" s="1727"/>
      <c r="AK1" s="1728"/>
    </row>
    <row r="2" spans="1:37" ht="17.25" customHeight="1" x14ac:dyDescent="0.2">
      <c r="A2" s="1660" t="s">
        <v>43</v>
      </c>
      <c r="B2" s="1661"/>
      <c r="C2" s="1661"/>
      <c r="D2" s="1661"/>
      <c r="E2" s="1661"/>
      <c r="F2" s="1661"/>
      <c r="G2" s="1661"/>
      <c r="H2" s="1661"/>
      <c r="I2" s="1661"/>
      <c r="J2" s="941"/>
      <c r="K2" s="975"/>
      <c r="L2" s="975"/>
      <c r="M2" s="975"/>
      <c r="N2" s="975"/>
      <c r="O2" s="976"/>
      <c r="P2" s="941"/>
      <c r="Q2" s="761"/>
      <c r="R2" s="761"/>
      <c r="S2" s="761"/>
      <c r="T2" s="761"/>
      <c r="U2" s="762"/>
      <c r="V2" s="1654" t="s">
        <v>239</v>
      </c>
      <c r="W2" s="1655"/>
      <c r="X2" s="1655"/>
      <c r="Y2" s="1655"/>
      <c r="Z2" s="1655"/>
      <c r="AA2" s="1655"/>
      <c r="AB2" s="1656"/>
      <c r="AC2" s="1625" t="s">
        <v>245</v>
      </c>
      <c r="AD2" s="1599"/>
      <c r="AE2" s="1599"/>
      <c r="AF2" s="1033">
        <f>IF(VLOOKUP(V2,Таблица_оружие[],28,0)&gt;0,1,0)</f>
        <v>1</v>
      </c>
      <c r="AG2" s="20" t="s">
        <v>253</v>
      </c>
      <c r="AH2" s="1525">
        <f>Навыки!M7</f>
        <v>463.3</v>
      </c>
      <c r="AI2" s="1494"/>
      <c r="AJ2" s="1494"/>
      <c r="AK2" s="42"/>
    </row>
    <row r="3" spans="1:37" ht="17.25" customHeight="1" x14ac:dyDescent="0.2">
      <c r="A3" s="1662"/>
      <c r="B3" s="1663"/>
      <c r="C3" s="1663"/>
      <c r="D3" s="1663"/>
      <c r="E3" s="1663"/>
      <c r="F3" s="1663"/>
      <c r="G3" s="1663"/>
      <c r="H3" s="1663"/>
      <c r="I3" s="1663"/>
      <c r="J3" s="981"/>
      <c r="K3" s="397"/>
      <c r="L3" s="397"/>
      <c r="M3" s="397"/>
      <c r="N3" s="397"/>
      <c r="O3" s="758"/>
      <c r="P3" s="942"/>
      <c r="Q3" s="364"/>
      <c r="R3" s="364"/>
      <c r="S3" s="364"/>
      <c r="T3" s="364"/>
      <c r="U3" s="371"/>
      <c r="V3" s="1657"/>
      <c r="W3" s="1658"/>
      <c r="X3" s="1658"/>
      <c r="Y3" s="1658"/>
      <c r="Z3" s="1658"/>
      <c r="AA3" s="1658"/>
      <c r="AB3" s="1659"/>
      <c r="AC3" s="1625" t="s">
        <v>183</v>
      </c>
      <c r="AD3" s="1599"/>
      <c r="AE3" s="1599"/>
      <c r="AF3" s="1033">
        <f>VLOOKUP(V2,Таблица_оружие[],31,0)</f>
        <v>0</v>
      </c>
      <c r="AG3" s="23" t="s">
        <v>294</v>
      </c>
      <c r="AH3" s="49">
        <f>Навыки!M8</f>
        <v>115</v>
      </c>
      <c r="AI3" s="50" t="s">
        <v>255</v>
      </c>
      <c r="AJ3" s="51"/>
      <c r="AK3" s="1495">
        <f>Навыки!P8</f>
        <v>127</v>
      </c>
    </row>
    <row r="4" spans="1:37" ht="17.25" customHeight="1" x14ac:dyDescent="0.2">
      <c r="A4" s="1649" t="s">
        <v>0</v>
      </c>
      <c r="B4" s="1635" t="s">
        <v>1</v>
      </c>
      <c r="C4" s="1635" t="s">
        <v>7</v>
      </c>
      <c r="D4" s="1635" t="s">
        <v>8</v>
      </c>
      <c r="E4" s="1635" t="s">
        <v>4</v>
      </c>
      <c r="F4" s="1635" t="s">
        <v>5</v>
      </c>
      <c r="G4" s="1635" t="s">
        <v>6</v>
      </c>
      <c r="H4" s="1635" t="s">
        <v>45</v>
      </c>
      <c r="I4" s="1687" t="s">
        <v>601</v>
      </c>
      <c r="J4" s="982"/>
      <c r="K4" s="397"/>
      <c r="L4" s="397"/>
      <c r="M4" s="397"/>
      <c r="N4" s="397"/>
      <c r="O4" s="758"/>
      <c r="P4" s="942"/>
      <c r="Q4" s="364"/>
      <c r="R4" s="364"/>
      <c r="S4" s="364"/>
      <c r="T4" s="364"/>
      <c r="U4" s="371"/>
      <c r="V4" s="1597" t="s">
        <v>71</v>
      </c>
      <c r="W4" s="1600"/>
      <c r="X4" s="1600" t="s">
        <v>614</v>
      </c>
      <c r="Y4" s="1690" t="s">
        <v>68</v>
      </c>
      <c r="Z4" s="1600" t="s">
        <v>69</v>
      </c>
      <c r="AA4" s="1600" t="s">
        <v>70</v>
      </c>
      <c r="AB4" s="1664"/>
      <c r="AC4" s="1625" t="s">
        <v>248</v>
      </c>
      <c r="AD4" s="1599"/>
      <c r="AE4" s="1599"/>
      <c r="AF4" s="1033">
        <f>VLOOKUP(V2,Таблица_оружие[],30,0)</f>
        <v>0</v>
      </c>
      <c r="AG4" s="23" t="s">
        <v>295</v>
      </c>
      <c r="AH4" s="56">
        <f>Навыки!M9</f>
        <v>65</v>
      </c>
      <c r="AI4" s="1591" t="s">
        <v>297</v>
      </c>
      <c r="AJ4" s="1605"/>
      <c r="AK4" s="57">
        <f>Навыки!P9</f>
        <v>0.125</v>
      </c>
    </row>
    <row r="5" spans="1:37" ht="17.25" customHeight="1" x14ac:dyDescent="0.2">
      <c r="A5" s="1676"/>
      <c r="B5" s="1636"/>
      <c r="C5" s="1636"/>
      <c r="D5" s="1636"/>
      <c r="E5" s="1636"/>
      <c r="F5" s="1636"/>
      <c r="G5" s="1636"/>
      <c r="H5" s="1636"/>
      <c r="I5" s="1688"/>
      <c r="J5" s="982"/>
      <c r="K5" s="397"/>
      <c r="L5" s="397"/>
      <c r="M5" s="397"/>
      <c r="N5" s="397"/>
      <c r="O5" s="758"/>
      <c r="P5" s="942"/>
      <c r="Q5" s="364"/>
      <c r="R5" s="364"/>
      <c r="S5" s="364"/>
      <c r="T5" s="364"/>
      <c r="U5" s="371"/>
      <c r="V5" s="1597"/>
      <c r="W5" s="1600"/>
      <c r="X5" s="1600"/>
      <c r="Y5" s="1690"/>
      <c r="Z5" s="1600"/>
      <c r="AA5" s="1600"/>
      <c r="AB5" s="1664"/>
      <c r="AC5" s="1625" t="s">
        <v>217</v>
      </c>
      <c r="AD5" s="1599"/>
      <c r="AE5" s="1599"/>
      <c r="AF5" s="1033">
        <f>VLOOKUP(V2,Таблица_оружие[],33,0)</f>
        <v>35</v>
      </c>
      <c r="AG5" s="23" t="s">
        <v>296</v>
      </c>
      <c r="AH5" s="59">
        <f>Навыки!M10</f>
        <v>105</v>
      </c>
      <c r="AI5" s="1591" t="s">
        <v>380</v>
      </c>
      <c r="AJ5" s="1605"/>
      <c r="AK5" s="60">
        <f>Навыки!P10</f>
        <v>107</v>
      </c>
    </row>
    <row r="6" spans="1:37" ht="17.25" customHeight="1" x14ac:dyDescent="0.25">
      <c r="A6" s="372">
        <f>VLOOKUP($A$2,Таблица_шлемы[],3,0)+VLOOKUP($A$2,Таблица_шлемы[],4,0)</f>
        <v>-6</v>
      </c>
      <c r="B6" s="395">
        <f>VLOOKUP($A$2,Таблица_шлемы[],5,0)+VLOOKUP($A$2,Таблица_шлемы[],6,0)</f>
        <v>25</v>
      </c>
      <c r="C6" s="756">
        <f>VLOOKUP($A$2,Таблица_шлемы[],7,0)+VLOOKUP($A$2,Таблица_шлемы[],10,0)</f>
        <v>14</v>
      </c>
      <c r="D6" s="756">
        <f>VLOOKUP($A$2,Таблица_шлемы[],8,0)+VLOOKUP($A$2,Таблица_шлемы[],10,0)</f>
        <v>4</v>
      </c>
      <c r="E6" s="756">
        <f>VLOOKUP($A$2,Таблица_шлемы[],9,0)+VLOOKUP($A$2,Таблица_шлемы[],10,0)</f>
        <v>12</v>
      </c>
      <c r="F6" s="756">
        <f>VLOOKUP($A$2,Таблица_шлемы[],11,0)+VLOOKUP($A$2,Таблица_шлемы[],12,0)</f>
        <v>0</v>
      </c>
      <c r="G6" s="756">
        <f>VLOOKUP($A$2,Таблица_шлемы[],13,0)+VLOOKUP($A$2,Таблица_шлемы[],14,0)</f>
        <v>2</v>
      </c>
      <c r="H6" s="396">
        <f>VLOOKUP($A$2,Таблица_шлемы[],15,0)</f>
        <v>0.02</v>
      </c>
      <c r="I6" s="979">
        <f>VLOOKUP($A$2,Таблица_шлемы[],16,0)+VLOOKUP($A$2,Таблица_шлемы[],17,0)</f>
        <v>0</v>
      </c>
      <c r="J6" s="942"/>
      <c r="K6" s="364"/>
      <c r="L6" s="364"/>
      <c r="M6" s="364"/>
      <c r="N6" s="364"/>
      <c r="O6" s="371"/>
      <c r="P6" s="943"/>
      <c r="Q6" s="2"/>
      <c r="R6" s="2"/>
      <c r="S6" s="2"/>
      <c r="T6" s="2"/>
      <c r="U6" s="760"/>
      <c r="V6" s="1715">
        <f>VLOOKUP(V2,Таблица_оружие[],3,0)+VLOOKUP(V2,Таблица_оружие[],5,0)</f>
        <v>56</v>
      </c>
      <c r="W6" s="1666">
        <f>VLOOKUP(V2,Таблица_оружие[],4,0)+VLOOKUP(V2,Таблица_оружие[],6,0)</f>
        <v>61</v>
      </c>
      <c r="X6" s="1600">
        <f>VLOOKUP(V2,Таблица_оружие[],9,0)+VLOOKUP(V2,Таблица_оружие[],10,0)</f>
        <v>10</v>
      </c>
      <c r="Y6" s="1666">
        <f>VLOOKUP(V2,Таблица_оружие[],11,0)+VLOOKUP(V2,Таблица_оружие[],12,0)</f>
        <v>79.3</v>
      </c>
      <c r="Z6" s="1554">
        <f>VLOOKUP(V2,Таблица_оружие[],13,0)+VLOOKUP(V2,Таблица_оружие[],16,0)</f>
        <v>75</v>
      </c>
      <c r="AA6" s="33">
        <f>VLOOKUP(V2,Таблица_оружие[],19,0)</f>
        <v>2</v>
      </c>
      <c r="AB6" s="1555">
        <f>VLOOKUP(V2,Таблица_оружие[],22,0)+VLOOKUP(V2,Таблица_оружие[],25,0)</f>
        <v>9</v>
      </c>
      <c r="AC6" s="1625" t="s">
        <v>376</v>
      </c>
      <c r="AD6" s="1599"/>
      <c r="AE6" s="1599"/>
      <c r="AF6" s="1033">
        <f>VLOOKUP(V2,Таблица_оружие[],32,0)</f>
        <v>0</v>
      </c>
      <c r="AG6" s="23" t="s">
        <v>45</v>
      </c>
      <c r="AH6" s="57">
        <f>Навыки!M11</f>
        <v>0.16</v>
      </c>
      <c r="AI6" s="1591" t="s">
        <v>299</v>
      </c>
      <c r="AJ6" s="1605"/>
      <c r="AK6" s="60">
        <f>Навыки!P11</f>
        <v>173</v>
      </c>
    </row>
    <row r="7" spans="1:37" ht="17.25" customHeight="1" thickBot="1" x14ac:dyDescent="0.3">
      <c r="A7" s="1677"/>
      <c r="B7" s="1596"/>
      <c r="C7" s="1596"/>
      <c r="D7" s="1596"/>
      <c r="E7" s="1596"/>
      <c r="F7" s="1596"/>
      <c r="G7" s="1596"/>
      <c r="H7" s="1596"/>
      <c r="I7" s="1596"/>
      <c r="J7" s="983">
        <v>0</v>
      </c>
      <c r="K7" s="557">
        <v>0</v>
      </c>
      <c r="L7" s="557">
        <v>0</v>
      </c>
      <c r="M7" s="557">
        <v>0</v>
      </c>
      <c r="N7" s="557">
        <v>0</v>
      </c>
      <c r="O7" s="759">
        <v>0</v>
      </c>
      <c r="P7" s="944">
        <v>0</v>
      </c>
      <c r="Q7" s="763">
        <v>0</v>
      </c>
      <c r="R7" s="763">
        <v>0</v>
      </c>
      <c r="S7" s="763">
        <v>0</v>
      </c>
      <c r="T7" s="763">
        <v>0</v>
      </c>
      <c r="U7" s="764">
        <v>0</v>
      </c>
      <c r="V7" s="1715"/>
      <c r="W7" s="1666"/>
      <c r="X7" s="1600"/>
      <c r="Y7" s="1666"/>
      <c r="Z7" s="1554">
        <f>VLOOKUP(V2,Таблица_оружие[],14,0)+VLOOKUP(V2,Таблица_оружие[],17,0)</f>
        <v>90</v>
      </c>
      <c r="AA7" s="33">
        <f>VLOOKUP(V2,Таблица_оружие[],20,0)</f>
        <v>6</v>
      </c>
      <c r="AB7" s="1555">
        <f>VLOOKUP(V2,Таблица_оружие[],23,0)+VLOOKUP(V2,Таблица_оружие[],26,0)</f>
        <v>16</v>
      </c>
      <c r="AF7" s="1032"/>
    </row>
    <row r="8" spans="1:37" ht="17.25" customHeight="1" x14ac:dyDescent="0.25">
      <c r="A8" s="1649" t="s">
        <v>0</v>
      </c>
      <c r="B8" s="1635" t="s">
        <v>1</v>
      </c>
      <c r="C8" s="1635" t="s">
        <v>7</v>
      </c>
      <c r="D8" s="1635" t="s">
        <v>8</v>
      </c>
      <c r="E8" s="1635" t="s">
        <v>4</v>
      </c>
      <c r="F8" s="1635" t="s">
        <v>5</v>
      </c>
      <c r="G8" s="1635" t="s">
        <v>6</v>
      </c>
      <c r="H8" s="1635" t="s">
        <v>45</v>
      </c>
      <c r="I8" s="1687" t="s">
        <v>601</v>
      </c>
      <c r="J8" s="942"/>
      <c r="K8" s="364"/>
      <c r="L8" s="364"/>
      <c r="M8" s="364"/>
      <c r="N8" s="364"/>
      <c r="O8" s="371"/>
      <c r="P8" s="1670" t="s">
        <v>916</v>
      </c>
      <c r="Q8" s="1671"/>
      <c r="R8" s="1671"/>
      <c r="S8" s="1671"/>
      <c r="T8" s="1671"/>
      <c r="U8" s="1672"/>
      <c r="V8" s="1715"/>
      <c r="W8" s="1666"/>
      <c r="X8" s="1600"/>
      <c r="Y8" s="1666"/>
      <c r="Z8" s="1554">
        <f>VLOOKUP(V2,Таблица_оружие[],15,0)+VLOOKUP(V2,Таблица_оружие[],18,0)</f>
        <v>0</v>
      </c>
      <c r="AA8" s="33">
        <f>VLOOKUP(V2,Таблица_оружие[],21,0)</f>
        <v>0</v>
      </c>
      <c r="AB8" s="1555">
        <f>VLOOKUP(V2,Таблица_оружие[],24,0)+VLOOKUP(V2,Таблица_оружие[],27,0)</f>
        <v>0</v>
      </c>
      <c r="AG8" s="1526" t="s">
        <v>918</v>
      </c>
      <c r="AH8" s="1727" t="str">
        <f>Навыки!M13</f>
        <v>Whisper</v>
      </c>
      <c r="AI8" s="1727"/>
      <c r="AJ8" s="1727"/>
      <c r="AK8" s="1728"/>
    </row>
    <row r="9" spans="1:37" ht="17.25" customHeight="1" x14ac:dyDescent="0.25">
      <c r="A9" s="1676"/>
      <c r="B9" s="1636"/>
      <c r="C9" s="1636"/>
      <c r="D9" s="1636"/>
      <c r="E9" s="1636"/>
      <c r="F9" s="1636"/>
      <c r="G9" s="1636"/>
      <c r="H9" s="1636"/>
      <c r="I9" s="1688"/>
      <c r="J9" s="942"/>
      <c r="K9" s="364"/>
      <c r="L9" s="364"/>
      <c r="M9" s="364"/>
      <c r="N9" s="364"/>
      <c r="O9" s="371"/>
      <c r="P9" s="1673"/>
      <c r="Q9" s="1674"/>
      <c r="R9" s="1674"/>
      <c r="S9" s="1674"/>
      <c r="T9" s="1674"/>
      <c r="U9" s="1675"/>
      <c r="V9" s="1667" t="s">
        <v>338</v>
      </c>
      <c r="W9" s="1668"/>
      <c r="X9" s="1668"/>
      <c r="Y9" s="1668"/>
      <c r="Z9" s="1668"/>
      <c r="AA9" s="1668"/>
      <c r="AB9" s="1669"/>
      <c r="AG9" s="33"/>
      <c r="AH9" s="1595" t="s">
        <v>298</v>
      </c>
      <c r="AI9" s="1597"/>
      <c r="AJ9" s="1595" t="s">
        <v>301</v>
      </c>
      <c r="AK9" s="1597"/>
    </row>
    <row r="10" spans="1:37" ht="17.25" customHeight="1" x14ac:dyDescent="0.25">
      <c r="A10" s="372">
        <f>VLOOKUP($A$2,Таблица_куртки[],3,0)+VLOOKUP($A$2,Таблица_куртки[],4,0)</f>
        <v>-26</v>
      </c>
      <c r="B10" s="395">
        <f>VLOOKUP($A$2,Таблица_куртки[],5,0)+VLOOKUP($A$2,Таблица_куртки[],6,0)</f>
        <v>56</v>
      </c>
      <c r="C10" s="756">
        <f>VLOOKUP($A$2,Таблица_куртки[],7,0)+VLOOKUP($A$2,Таблица_куртки[],10,0)</f>
        <v>35</v>
      </c>
      <c r="D10" s="756">
        <f>VLOOKUP($A$2,Таблица_куртки[],8,0)+VLOOKUP($A$2,Таблица_куртки[],10,0)</f>
        <v>10</v>
      </c>
      <c r="E10" s="756">
        <f>VLOOKUP($A$2,Таблица_куртки[],9,0)+VLOOKUP($A$2,Таблица_куртки[],10,0)</f>
        <v>30</v>
      </c>
      <c r="F10" s="756">
        <f>VLOOKUP($A$2,Таблица_куртки[],11,0)+VLOOKUP($A$2,Таблица_куртки[],12,0)</f>
        <v>0</v>
      </c>
      <c r="G10" s="756">
        <f>VLOOKUP($A$2,Таблица_куртки[],13,0)+VLOOKUP($A$2,Таблица_куртки[],14,0)</f>
        <v>8</v>
      </c>
      <c r="H10" s="396">
        <f>VLOOKUP($A$2,Таблица_куртки[],15,0)</f>
        <v>0.08</v>
      </c>
      <c r="I10" s="980">
        <f>VLOOKUP($A$2,Таблица_куртки[],16,0)+VLOOKUP($A$2,Таблица_куртки[],17,0)</f>
        <v>0</v>
      </c>
      <c r="J10" s="942"/>
      <c r="K10" s="364"/>
      <c r="L10" s="364"/>
      <c r="M10" s="364"/>
      <c r="N10" s="364"/>
      <c r="O10" s="371"/>
      <c r="P10" s="1707" t="str">
        <f>IF(P8="Электромагнитные","шок",IF(P8="Зажигательные","урон по мобам",IF(P8="Химические","отравление","")))</f>
        <v/>
      </c>
      <c r="Q10" s="1606"/>
      <c r="R10" s="1606"/>
      <c r="S10" s="1606"/>
      <c r="T10" s="1606"/>
      <c r="U10" s="1640"/>
      <c r="V10" s="1597" t="s">
        <v>71</v>
      </c>
      <c r="W10" s="1600"/>
      <c r="X10" s="1600" t="s">
        <v>614</v>
      </c>
      <c r="Y10" s="1713" t="s">
        <v>68</v>
      </c>
      <c r="Z10" s="1713" t="s">
        <v>103</v>
      </c>
      <c r="AA10" s="1713" t="s">
        <v>70</v>
      </c>
      <c r="AB10" s="1714" t="s">
        <v>615</v>
      </c>
      <c r="AG10" s="23" t="s">
        <v>71</v>
      </c>
      <c r="AH10" s="1531">
        <f>Навыки!M15</f>
        <v>139.19999999999999</v>
      </c>
      <c r="AI10" s="1531">
        <f>Навыки!N15</f>
        <v>151.69999999999999</v>
      </c>
      <c r="AJ10" s="1531">
        <f>Навыки!O15</f>
        <v>215.79999999999998</v>
      </c>
      <c r="AK10" s="1531">
        <f>Навыки!P15</f>
        <v>235.01348000000002</v>
      </c>
    </row>
    <row r="11" spans="1:37" ht="17.25" customHeight="1" x14ac:dyDescent="0.25">
      <c r="A11" s="1677"/>
      <c r="B11" s="1596"/>
      <c r="C11" s="1596"/>
      <c r="D11" s="1596"/>
      <c r="E11" s="1596"/>
      <c r="F11" s="1596"/>
      <c r="G11" s="1596"/>
      <c r="H11" s="1596"/>
      <c r="I11" s="36"/>
      <c r="J11" s="983">
        <v>0</v>
      </c>
      <c r="K11" s="557">
        <v>0</v>
      </c>
      <c r="L11" s="557">
        <v>0</v>
      </c>
      <c r="M11" s="557">
        <v>0</v>
      </c>
      <c r="N11" s="557">
        <v>0</v>
      </c>
      <c r="O11" s="759">
        <v>0</v>
      </c>
      <c r="P11" s="1708"/>
      <c r="Q11" s="1709"/>
      <c r="R11" s="1709"/>
      <c r="S11" s="1709"/>
      <c r="T11" s="1709"/>
      <c r="U11" s="1710"/>
      <c r="V11" s="1597"/>
      <c r="W11" s="1600"/>
      <c r="X11" s="1600"/>
      <c r="Y11" s="1713"/>
      <c r="Z11" s="1713"/>
      <c r="AA11" s="1713"/>
      <c r="AB11" s="1714"/>
      <c r="AG11" s="23" t="s">
        <v>300</v>
      </c>
      <c r="AH11" s="1603">
        <f>Навыки!M16</f>
        <v>356.5</v>
      </c>
      <c r="AI11" s="1604"/>
      <c r="AJ11" s="1601">
        <f>Навыки!O16</f>
        <v>1325.8849506552001</v>
      </c>
      <c r="AK11" s="1602"/>
    </row>
    <row r="12" spans="1:37" ht="17.25" customHeight="1" x14ac:dyDescent="0.25">
      <c r="A12" s="1649" t="s">
        <v>0</v>
      </c>
      <c r="B12" s="1635" t="s">
        <v>1</v>
      </c>
      <c r="C12" s="1635" t="s">
        <v>7</v>
      </c>
      <c r="D12" s="1635" t="s">
        <v>8</v>
      </c>
      <c r="E12" s="1635" t="s">
        <v>4</v>
      </c>
      <c r="F12" s="1635" t="s">
        <v>5</v>
      </c>
      <c r="G12" s="1635" t="s">
        <v>6</v>
      </c>
      <c r="H12" s="1635" t="s">
        <v>45</v>
      </c>
      <c r="I12" s="1687" t="s">
        <v>601</v>
      </c>
      <c r="J12" s="942"/>
      <c r="K12" s="364"/>
      <c r="L12" s="364"/>
      <c r="M12" s="364"/>
      <c r="N12" s="364"/>
      <c r="O12" s="371"/>
      <c r="P12" s="1711">
        <f>IF(AB12="",0,IF(P10="шок",VLOOKUP(V2,Таблица_оружие[],38,0),IF(P10="Отравление",VLOOKUP(V2,Таблица_оружие[],37,0),IF(P10="Урон по мобам",VLOOKUP(V2,Таблица_оружие[],36,0),"")))+AB12)</f>
        <v>0</v>
      </c>
      <c r="Q12" s="1610"/>
      <c r="R12" s="1610"/>
      <c r="S12" s="1610"/>
      <c r="T12" s="1610"/>
      <c r="U12" s="1628"/>
      <c r="V12" s="1715">
        <f>VLOOKUP(V2,Таблица_оружие[],5,0)</f>
        <v>0</v>
      </c>
      <c r="W12" s="1666">
        <f>VLOOKUP(V2,Таблица_оружие[],6,0)</f>
        <v>0</v>
      </c>
      <c r="X12" s="1690">
        <f>VLOOKUP(V2,Таблица_оружие[],10,0)</f>
        <v>0</v>
      </c>
      <c r="Y12" s="1600">
        <f>VLOOKUP(V2,Таблица_оружие[],12,0)</f>
        <v>0</v>
      </c>
      <c r="Z12" s="33">
        <f>VLOOKUP(V2,Таблица_оружие[],16,0)</f>
        <v>0</v>
      </c>
      <c r="AA12" s="33">
        <f>VLOOKUP(V2,Таблица_оружие[],25,0)</f>
        <v>0</v>
      </c>
      <c r="AB12" s="1691" t="str">
        <f>IF(P10="шок",VLOOKUP(V2,Таблица_оружие[],42,0),IF(P10="Отравление",VLOOKUP(V2,Таблица_оружие[],41,0),IF(P10="Урон по мобам",VLOOKUP(V2,Таблица_оружие[],40,0),"")))</f>
        <v/>
      </c>
      <c r="AC12" s="757"/>
      <c r="AD12" s="757"/>
      <c r="AG12" s="23" t="s">
        <v>375</v>
      </c>
      <c r="AH12" s="1601">
        <f>Навыки!M17</f>
        <v>28.181000000000004</v>
      </c>
      <c r="AI12" s="1602"/>
      <c r="AJ12" s="1601">
        <f>Навыки!O17</f>
        <v>46.216840000000012</v>
      </c>
      <c r="AK12" s="1602"/>
    </row>
    <row r="13" spans="1:37" ht="17.25" customHeight="1" x14ac:dyDescent="0.25">
      <c r="A13" s="1676"/>
      <c r="B13" s="1636"/>
      <c r="C13" s="1636"/>
      <c r="D13" s="1636"/>
      <c r="E13" s="1636"/>
      <c r="F13" s="1636"/>
      <c r="G13" s="1636"/>
      <c r="H13" s="1636"/>
      <c r="I13" s="1688"/>
      <c r="J13" s="942"/>
      <c r="K13" s="364"/>
      <c r="L13" s="364"/>
      <c r="M13" s="364"/>
      <c r="N13" s="364"/>
      <c r="O13" s="371"/>
      <c r="P13" s="1631"/>
      <c r="Q13" s="1610"/>
      <c r="R13" s="1610"/>
      <c r="S13" s="1610"/>
      <c r="T13" s="1610"/>
      <c r="U13" s="1628"/>
      <c r="V13" s="1715"/>
      <c r="W13" s="1666"/>
      <c r="X13" s="1690"/>
      <c r="Y13" s="1600"/>
      <c r="Z13" s="33">
        <f>VLOOKUP(V2,Таблица_оружие[],17,0)</f>
        <v>0</v>
      </c>
      <c r="AA13" s="33">
        <f>VLOOKUP(V2,Таблица_оружие[],26,0)</f>
        <v>0</v>
      </c>
      <c r="AB13" s="1691"/>
      <c r="AC13" s="757"/>
      <c r="AD13" s="757"/>
      <c r="AG13" s="1621" t="s">
        <v>919</v>
      </c>
      <c r="AH13" s="1622"/>
      <c r="AI13" s="35" t="s">
        <v>69</v>
      </c>
      <c r="AJ13" s="1621" t="s">
        <v>70</v>
      </c>
      <c r="AK13" s="1622"/>
    </row>
    <row r="14" spans="1:37" ht="17.25" customHeight="1" thickBot="1" x14ac:dyDescent="0.3">
      <c r="A14" s="853">
        <f>VLOOKUP($A$2,Таблица_брюки[],3,0)+VLOOKUP($A$2,Таблица_брюки[],4,0)</f>
        <v>-20</v>
      </c>
      <c r="B14" s="854">
        <f>VLOOKUP($A$2,Таблица_брюки[],5,0)+VLOOKUP($A$2,Таблица_брюки[],6,0)</f>
        <v>36</v>
      </c>
      <c r="C14" s="855">
        <f>VLOOKUP($A$2,Таблица_брюки[],7,0)+VLOOKUP($A$2,Таблица_брюки[],10,0)</f>
        <v>21</v>
      </c>
      <c r="D14" s="855">
        <f>VLOOKUP($A$2,Таблица_брюки[],8,0)+VLOOKUP($A$2,Таблица_брюки[],10,0)</f>
        <v>6</v>
      </c>
      <c r="E14" s="855">
        <f>VLOOKUP($A$2,Таблица_брюки[],9,0)+VLOOKUP($A$2,Таблица_брюки[],10,0)</f>
        <v>18</v>
      </c>
      <c r="F14" s="855">
        <f>VLOOKUP($A$2,Таблица_брюки[],11,0)+VLOOKUP($A$2,Таблица_брюки[],12,0)</f>
        <v>0</v>
      </c>
      <c r="G14" s="855">
        <f>VLOOKUP($A$2,Таблица_брюки[],13,0)+VLOOKUP($A$2,Таблица_брюки[],14,0)</f>
        <v>5</v>
      </c>
      <c r="H14" s="977">
        <f>VLOOKUP($A$2,Таблица_брюки[],15,0)</f>
        <v>0.06</v>
      </c>
      <c r="I14" s="864">
        <f>VLOOKUP($A$2,Таблица_брюки[],16,0)+VLOOKUP($A$2,Таблица_брюки[],17,0)</f>
        <v>0</v>
      </c>
      <c r="J14" s="945"/>
      <c r="K14" s="946"/>
      <c r="L14" s="946"/>
      <c r="M14" s="946"/>
      <c r="N14" s="946"/>
      <c r="O14" s="978"/>
      <c r="P14" s="1712"/>
      <c r="Q14" s="1629"/>
      <c r="R14" s="1629"/>
      <c r="S14" s="1629"/>
      <c r="T14" s="1629"/>
      <c r="U14" s="1630"/>
      <c r="V14" s="1716"/>
      <c r="W14" s="1717"/>
      <c r="X14" s="1689"/>
      <c r="Y14" s="1635"/>
      <c r="Z14" s="1553">
        <f>VLOOKUP(V2,Таблица_оружие[],18,0)</f>
        <v>0</v>
      </c>
      <c r="AA14" s="1553">
        <f>VLOOKUP(V2,Таблица_оружие[],27,0)</f>
        <v>0</v>
      </c>
      <c r="AB14" s="1692"/>
      <c r="AG14" s="1595">
        <v>1</v>
      </c>
      <c r="AH14" s="1597"/>
      <c r="AI14" s="1531">
        <f>Навыки!M19</f>
        <v>142.42500000000001</v>
      </c>
      <c r="AJ14" s="60">
        <f>Навыки!O19</f>
        <v>2</v>
      </c>
      <c r="AK14" s="1495">
        <f>Навыки!P19</f>
        <v>9.9899999999999984</v>
      </c>
    </row>
    <row r="15" spans="1:37" ht="17.25" customHeight="1" thickBot="1" x14ac:dyDescent="0.3">
      <c r="A15" s="809"/>
      <c r="B15" s="851"/>
      <c r="H15" s="852"/>
      <c r="I15" s="860"/>
      <c r="J15" s="972">
        <v>0</v>
      </c>
      <c r="K15" s="973">
        <v>0</v>
      </c>
      <c r="L15" s="973">
        <v>0</v>
      </c>
      <c r="M15" s="973">
        <v>0</v>
      </c>
      <c r="N15" s="973">
        <v>0</v>
      </c>
      <c r="O15" s="974">
        <v>0</v>
      </c>
      <c r="P15" s="1693"/>
      <c r="Q15" s="1694"/>
      <c r="R15" s="1694"/>
      <c r="S15" s="1694"/>
      <c r="T15" s="1694"/>
      <c r="U15" s="1695"/>
      <c r="V15" s="1721" t="s">
        <v>636</v>
      </c>
      <c r="W15" s="1721"/>
      <c r="X15" s="1721"/>
      <c r="Y15" s="1721"/>
      <c r="Z15" s="1721"/>
      <c r="AA15" s="1721"/>
      <c r="AB15" s="1722"/>
      <c r="AG15" s="1595">
        <v>2</v>
      </c>
      <c r="AH15" s="1597"/>
      <c r="AI15" s="1531">
        <f>Навыки!M20</f>
        <v>170.91</v>
      </c>
      <c r="AJ15" s="60">
        <f>Навыки!O20</f>
        <v>6</v>
      </c>
      <c r="AK15" s="1495">
        <f>Навыки!P20</f>
        <v>17.759999999999998</v>
      </c>
    </row>
    <row r="16" spans="1:37" ht="17.25" customHeight="1" x14ac:dyDescent="0.25">
      <c r="A16" s="1632" t="s">
        <v>258</v>
      </c>
      <c r="B16" s="1633"/>
      <c r="C16" s="1633"/>
      <c r="D16" s="1633"/>
      <c r="E16" s="1633"/>
      <c r="F16" s="1633"/>
      <c r="G16" s="1633"/>
      <c r="H16" s="1633"/>
      <c r="I16" s="1634"/>
      <c r="J16" s="857"/>
      <c r="K16" s="857"/>
      <c r="L16" s="857"/>
      <c r="M16" s="857"/>
      <c r="N16" s="761"/>
      <c r="O16" s="858"/>
      <c r="P16" s="1650"/>
      <c r="Q16" s="1600"/>
      <c r="R16" s="1600"/>
      <c r="S16" s="1600"/>
      <c r="T16" s="1600"/>
      <c r="U16" s="1595"/>
      <c r="V16" s="1718"/>
      <c r="W16" s="1718"/>
      <c r="X16" s="1718"/>
      <c r="Y16" s="1718"/>
      <c r="Z16" s="1718"/>
      <c r="AA16" s="1718"/>
      <c r="AB16" s="1719"/>
      <c r="AG16" s="1595">
        <v>3</v>
      </c>
      <c r="AH16" s="1597"/>
      <c r="AI16" s="1531">
        <f>Навыки!M21</f>
        <v>0</v>
      </c>
      <c r="AJ16" s="60">
        <f>Навыки!O21</f>
        <v>0</v>
      </c>
      <c r="AK16" s="1495">
        <f>Навыки!P21</f>
        <v>0</v>
      </c>
    </row>
    <row r="17" spans="1:36" ht="17.25" customHeight="1" x14ac:dyDescent="0.25">
      <c r="A17" s="1703" t="s">
        <v>653</v>
      </c>
      <c r="B17" s="1704"/>
      <c r="C17" s="1704"/>
      <c r="D17" s="1704"/>
      <c r="E17" s="1704"/>
      <c r="F17" s="1704"/>
      <c r="G17" s="1704"/>
      <c r="H17" s="1704"/>
      <c r="I17" s="1705"/>
      <c r="N17" s="364"/>
      <c r="O17" s="859"/>
      <c r="P17" s="1647" t="s">
        <v>638</v>
      </c>
      <c r="Q17" s="1648"/>
      <c r="R17" s="1648"/>
      <c r="S17" s="1648" t="s">
        <v>639</v>
      </c>
      <c r="T17" s="1648"/>
      <c r="U17" s="1648"/>
      <c r="V17" s="1638" t="s">
        <v>640</v>
      </c>
      <c r="W17" s="1638" t="s">
        <v>425</v>
      </c>
      <c r="X17" s="1638" t="s">
        <v>641</v>
      </c>
      <c r="Y17" s="1638" t="s">
        <v>642</v>
      </c>
      <c r="Z17" s="1638" t="s">
        <v>643</v>
      </c>
      <c r="AA17" s="1638" t="s">
        <v>652</v>
      </c>
      <c r="AB17" s="1723" t="s">
        <v>4</v>
      </c>
    </row>
    <row r="18" spans="1:36" ht="17.25" customHeight="1" x14ac:dyDescent="0.25">
      <c r="A18" s="1662"/>
      <c r="B18" s="1663"/>
      <c r="C18" s="1663"/>
      <c r="D18" s="1663"/>
      <c r="E18" s="1663"/>
      <c r="F18" s="1663"/>
      <c r="G18" s="1663"/>
      <c r="H18" s="1663"/>
      <c r="I18" s="1706"/>
      <c r="J18" s="836"/>
      <c r="N18" s="364"/>
      <c r="O18" s="371"/>
      <c r="P18" s="1647"/>
      <c r="Q18" s="1648"/>
      <c r="R18" s="1648"/>
      <c r="S18" s="1648"/>
      <c r="T18" s="1648"/>
      <c r="U18" s="1648"/>
      <c r="V18" s="1639"/>
      <c r="W18" s="1639"/>
      <c r="X18" s="1639"/>
      <c r="Y18" s="1639"/>
      <c r="Z18" s="1639"/>
      <c r="AA18" s="1639"/>
      <c r="AB18" s="1724"/>
    </row>
    <row r="19" spans="1:36" ht="17.25" customHeight="1" x14ac:dyDescent="0.25">
      <c r="A19" s="1649" t="s">
        <v>0</v>
      </c>
      <c r="B19" s="1635" t="s">
        <v>1</v>
      </c>
      <c r="C19" s="1635" t="s">
        <v>7</v>
      </c>
      <c r="D19" s="1635" t="s">
        <v>8</v>
      </c>
      <c r="E19" s="1635" t="s">
        <v>4</v>
      </c>
      <c r="F19" s="1635" t="s">
        <v>5</v>
      </c>
      <c r="G19" s="1635" t="s">
        <v>6</v>
      </c>
      <c r="H19" s="1635" t="s">
        <v>45</v>
      </c>
      <c r="I19" s="1689" t="s">
        <v>601</v>
      </c>
      <c r="O19" s="859"/>
      <c r="P19" s="1649">
        <f>VLOOKUP($V$15,Таблица_гранаты[],3,0)</f>
        <v>0</v>
      </c>
      <c r="Q19" s="1635"/>
      <c r="R19" s="1635"/>
      <c r="S19" s="1649">
        <f>VLOOKUP($V$15,Таблица_гранаты[],4,0)</f>
        <v>0</v>
      </c>
      <c r="T19" s="1635"/>
      <c r="U19" s="1635"/>
      <c r="V19" s="1553">
        <f>VLOOKUP($V$15,Таблица_гранаты[],5,0)</f>
        <v>0</v>
      </c>
      <c r="W19" s="1553">
        <f>VLOOKUP($V$15,Таблица_гранаты[],6,0)</f>
        <v>0</v>
      </c>
      <c r="X19" s="1553">
        <f>VLOOKUP($V$15,Таблица_гранаты[],7,0)</f>
        <v>0</v>
      </c>
      <c r="Y19" s="1553">
        <f>VLOOKUP($V$15,Таблица_гранаты[],8,0)</f>
        <v>0</v>
      </c>
      <c r="Z19" s="1553">
        <f>VLOOKUP($V$15,Таблица_гранаты[],9,0)</f>
        <v>0</v>
      </c>
      <c r="AA19" s="1553">
        <f>VLOOKUP($V$15,Таблица_гранаты[],10,0)</f>
        <v>0</v>
      </c>
      <c r="AB19" s="863">
        <f>VLOOKUP($V$15,Таблица_гранаты[],11,0)</f>
        <v>0</v>
      </c>
    </row>
    <row r="20" spans="1:36" ht="17.25" customHeight="1" x14ac:dyDescent="0.25">
      <c r="A20" s="1676"/>
      <c r="B20" s="1636"/>
      <c r="C20" s="1636"/>
      <c r="D20" s="1636"/>
      <c r="E20" s="1636"/>
      <c r="F20" s="1636"/>
      <c r="G20" s="1636"/>
      <c r="H20" s="1636"/>
      <c r="I20" s="1688"/>
      <c r="J20" s="836"/>
      <c r="N20" s="364"/>
      <c r="O20" s="371"/>
      <c r="P20" s="1650"/>
      <c r="Q20" s="1600"/>
      <c r="R20" s="1600"/>
      <c r="S20" s="1600"/>
      <c r="T20" s="1600"/>
      <c r="U20" s="1600"/>
      <c r="V20" s="1718" t="s">
        <v>637</v>
      </c>
      <c r="W20" s="1718"/>
      <c r="X20" s="1718"/>
      <c r="Y20" s="1718"/>
      <c r="Z20" s="1718"/>
      <c r="AA20" s="1718"/>
      <c r="AB20" s="1719"/>
    </row>
    <row r="21" spans="1:36" ht="17.25" customHeight="1" x14ac:dyDescent="0.25">
      <c r="A21" s="372">
        <f>VLOOKUP($A$17,Таблица_щиты[],3,0)+VLOOKUP($A$17,Таблица_щиты[],4,0)</f>
        <v>0</v>
      </c>
      <c r="B21" s="395">
        <f>VLOOKUP($A$17,Таблица_щиты[],5,0)+VLOOKUP($A$17,Таблица_щиты[],6,0)</f>
        <v>0</v>
      </c>
      <c r="C21" s="756">
        <f>VLOOKUP($A$17,Таблица_щиты[],7,0)+VLOOKUP($A$17,Таблица_щиты[],10,0)</f>
        <v>0</v>
      </c>
      <c r="D21" s="756">
        <f>VLOOKUP($A$17,Таблица_щиты[],8,0)+VLOOKUP($A$17,Таблица_щиты[],10,0)</f>
        <v>0</v>
      </c>
      <c r="E21" s="756">
        <f>VLOOKUP($A$17,Таблица_щиты[],9,0)+VLOOKUP($A$17,Таблица_щиты[],10,0)</f>
        <v>0</v>
      </c>
      <c r="F21" s="756">
        <f>VLOOKUP($A$17,Таблица_щиты[],17,0)+VLOOKUP($A$17,Таблица_щиты[],18,0)</f>
        <v>0</v>
      </c>
      <c r="G21" s="756">
        <f>VLOOKUP($A$17,Таблица_щиты[],13,0)+VLOOKUP($A$17,Таблица_щиты[],14,0)</f>
        <v>0</v>
      </c>
      <c r="H21" s="396">
        <f>VLOOKUP($A$17,Таблица_щиты[],11,0)+VLOOKUP($A$17,Таблица_щиты[],12,0)</f>
        <v>0</v>
      </c>
      <c r="I21" s="396">
        <f>VLOOKUP($A$17,Таблица_щиты[],15,0)+VLOOKUP($A$17,Таблица_щиты[],16,0)</f>
        <v>0</v>
      </c>
      <c r="N21" s="364"/>
      <c r="O21" s="371"/>
      <c r="P21" s="1650"/>
      <c r="Q21" s="1600"/>
      <c r="R21" s="1600"/>
      <c r="S21" s="1600"/>
      <c r="T21" s="1600"/>
      <c r="U21" s="1600"/>
      <c r="V21" s="1718"/>
      <c r="W21" s="1718"/>
      <c r="X21" s="1718"/>
      <c r="Y21" s="1718"/>
      <c r="Z21" s="1718"/>
      <c r="AA21" s="1718"/>
      <c r="AB21" s="1719"/>
    </row>
    <row r="22" spans="1:36" ht="17.25" customHeight="1" thickBot="1" x14ac:dyDescent="0.3">
      <c r="A22" s="809"/>
      <c r="B22" s="851"/>
      <c r="H22" s="852"/>
      <c r="I22" s="860"/>
      <c r="J22" s="861">
        <v>0</v>
      </c>
      <c r="K22" s="856">
        <v>0</v>
      </c>
      <c r="L22" s="856">
        <v>0</v>
      </c>
      <c r="M22" s="856">
        <v>0</v>
      </c>
      <c r="N22" s="856">
        <v>0</v>
      </c>
      <c r="O22" s="862"/>
      <c r="P22" s="809"/>
      <c r="S22" s="1648" t="s">
        <v>525</v>
      </c>
      <c r="T22" s="1648"/>
      <c r="U22" s="1648"/>
      <c r="V22" s="1648" t="s">
        <v>645</v>
      </c>
      <c r="W22" s="1648" t="s">
        <v>646</v>
      </c>
      <c r="X22" s="1648" t="s">
        <v>641</v>
      </c>
      <c r="Y22" s="1648" t="s">
        <v>647</v>
      </c>
      <c r="Z22" s="1648" t="s">
        <v>643</v>
      </c>
      <c r="AA22" s="1648" t="s">
        <v>651</v>
      </c>
      <c r="AB22" s="1720" t="s">
        <v>4</v>
      </c>
    </row>
    <row r="23" spans="1:36" ht="17.25" customHeight="1" x14ac:dyDescent="0.25">
      <c r="A23" s="1632" t="s">
        <v>658</v>
      </c>
      <c r="B23" s="1633"/>
      <c r="C23" s="1633"/>
      <c r="D23" s="1633"/>
      <c r="E23" s="1633"/>
      <c r="F23" s="1633"/>
      <c r="G23" s="1633"/>
      <c r="H23" s="1633"/>
      <c r="I23" s="1634"/>
      <c r="J23" s="857"/>
      <c r="K23" s="857"/>
      <c r="L23" s="857"/>
      <c r="M23" s="857"/>
      <c r="N23" s="761"/>
      <c r="O23" s="762"/>
      <c r="S23" s="1648"/>
      <c r="T23" s="1648"/>
      <c r="U23" s="1648"/>
      <c r="V23" s="1648"/>
      <c r="W23" s="1648"/>
      <c r="X23" s="1648"/>
      <c r="Y23" s="1648"/>
      <c r="Z23" s="1648"/>
      <c r="AA23" s="1648"/>
      <c r="AB23" s="1720"/>
    </row>
    <row r="24" spans="1:36" ht="17.25" customHeight="1" thickBot="1" x14ac:dyDescent="0.3">
      <c r="A24" s="1649" t="s">
        <v>0</v>
      </c>
      <c r="B24" s="1635" t="s">
        <v>1</v>
      </c>
      <c r="C24" s="1635" t="s">
        <v>7</v>
      </c>
      <c r="D24" s="1635" t="s">
        <v>8</v>
      </c>
      <c r="E24" s="1635" t="s">
        <v>4</v>
      </c>
      <c r="F24" s="1635" t="s">
        <v>5</v>
      </c>
      <c r="G24" s="1635" t="s">
        <v>6</v>
      </c>
      <c r="H24" s="1635" t="s">
        <v>45</v>
      </c>
      <c r="I24" s="1689" t="s">
        <v>601</v>
      </c>
      <c r="N24" s="364"/>
      <c r="O24" s="371"/>
      <c r="P24" s="984"/>
      <c r="Q24" s="984"/>
      <c r="R24" s="984"/>
      <c r="S24" s="1696">
        <f>VLOOKUP($V$20,Таблица_мины[],3,0)</f>
        <v>0</v>
      </c>
      <c r="T24" s="1697"/>
      <c r="U24" s="1698"/>
      <c r="V24" s="1571">
        <f>VLOOKUP($V$20,Таблица_мины[],4,0)</f>
        <v>0</v>
      </c>
      <c r="W24" s="1571">
        <f>VLOOKUP($V$20,Таблица_мины[],5,0)</f>
        <v>0</v>
      </c>
      <c r="X24" s="1571">
        <f>VLOOKUP($V$20,Таблица_мины[],6,0)</f>
        <v>0</v>
      </c>
      <c r="Y24" s="1571">
        <f>VLOOKUP($V$20,Таблица_мины[],7,0)</f>
        <v>0</v>
      </c>
      <c r="Z24" s="1571">
        <f>VLOOKUP($V$20,Таблица_мины[],8,0)</f>
        <v>0</v>
      </c>
      <c r="AA24" s="1571">
        <f>VLOOKUP($V$20,Таблица_мины[],9,0)</f>
        <v>0</v>
      </c>
      <c r="AB24" s="1572">
        <f>VLOOKUP($V$20,Таблица_мины[],10,0)</f>
        <v>0</v>
      </c>
      <c r="AC24" s="364"/>
      <c r="AD24" s="364"/>
      <c r="AE24" s="364"/>
      <c r="AF24" s="364"/>
      <c r="AG24" s="364"/>
      <c r="AH24" s="364"/>
    </row>
    <row r="25" spans="1:36" s="18" customFormat="1" ht="17.25" customHeight="1" x14ac:dyDescent="0.25">
      <c r="A25" s="1676"/>
      <c r="B25" s="1636"/>
      <c r="C25" s="1636"/>
      <c r="D25" s="1636"/>
      <c r="E25" s="1636"/>
      <c r="F25" s="1636"/>
      <c r="G25" s="1636"/>
      <c r="H25" s="1636"/>
      <c r="I25" s="1702"/>
      <c r="J25" s="1"/>
      <c r="K25" s="1"/>
      <c r="L25" s="1"/>
      <c r="M25" s="1"/>
      <c r="N25" s="364"/>
      <c r="O25" s="371"/>
      <c r="P25" s="1637"/>
      <c r="Q25" s="1637"/>
      <c r="R25" s="1637"/>
      <c r="S25" s="1637"/>
      <c r="T25" s="1637"/>
      <c r="U25" s="1637"/>
      <c r="V25" s="1637"/>
      <c r="W25" s="1637"/>
      <c r="X25" s="1637"/>
      <c r="Y25" s="1637"/>
      <c r="Z25" s="1637"/>
      <c r="AA25" s="1637"/>
      <c r="AB25" s="1637"/>
      <c r="AC25" s="364"/>
      <c r="AD25" s="1610"/>
      <c r="AE25" s="1610"/>
      <c r="AF25" s="1"/>
      <c r="AG25" s="1"/>
      <c r="AH25" s="1"/>
    </row>
    <row r="26" spans="1:36" s="18" customFormat="1" ht="17.25" customHeight="1" x14ac:dyDescent="0.25">
      <c r="A26" s="372">
        <f t="shared" ref="A26:G26" si="0">SUM(A6+A10+A14+A21)</f>
        <v>-52</v>
      </c>
      <c r="B26" s="15">
        <f t="shared" si="0"/>
        <v>117</v>
      </c>
      <c r="C26" s="756">
        <f t="shared" si="0"/>
        <v>70</v>
      </c>
      <c r="D26" s="756">
        <f t="shared" si="0"/>
        <v>20</v>
      </c>
      <c r="E26" s="756">
        <f t="shared" si="0"/>
        <v>60</v>
      </c>
      <c r="F26" s="756">
        <f t="shared" si="0"/>
        <v>0</v>
      </c>
      <c r="G26" s="756">
        <f t="shared" si="0"/>
        <v>15</v>
      </c>
      <c r="H26" s="396">
        <f>SUM(H14+H10+H6+H21)</f>
        <v>0.16</v>
      </c>
      <c r="I26" s="14">
        <f>I14+I10+I6+I21</f>
        <v>0</v>
      </c>
      <c r="J26" s="1"/>
      <c r="K26" s="1"/>
      <c r="L26" s="1"/>
      <c r="M26" s="1"/>
      <c r="N26" s="364"/>
      <c r="O26" s="371"/>
      <c r="P26" s="1566"/>
      <c r="R26" s="364"/>
      <c r="S26" s="1599"/>
      <c r="T26" s="1599"/>
      <c r="U26" s="1599"/>
      <c r="V26" s="1599"/>
      <c r="W26" s="1567"/>
      <c r="X26" s="1599"/>
      <c r="Y26" s="1599"/>
      <c r="Z26" s="1568"/>
      <c r="AA26" s="1599"/>
      <c r="AB26" s="1599"/>
      <c r="AC26" s="1"/>
      <c r="AD26" s="1"/>
      <c r="AE26" s="1"/>
      <c r="AF26" s="1"/>
      <c r="AG26" s="1"/>
      <c r="AH26" s="1"/>
    </row>
    <row r="27" spans="1:36" ht="17.25" customHeight="1" x14ac:dyDescent="0.25">
      <c r="A27" s="1699" t="s">
        <v>338</v>
      </c>
      <c r="B27" s="1700"/>
      <c r="C27" s="1700"/>
      <c r="D27" s="1700"/>
      <c r="E27" s="1700"/>
      <c r="F27" s="1700"/>
      <c r="G27" s="1700"/>
      <c r="H27" s="1700"/>
      <c r="I27" s="1701"/>
      <c r="N27" s="850"/>
      <c r="O27" s="371"/>
      <c r="P27" s="1569"/>
      <c r="Q27" s="364"/>
      <c r="R27" s="364"/>
      <c r="S27" s="1599"/>
      <c r="T27" s="1599"/>
      <c r="U27" s="1599"/>
      <c r="V27" s="1599"/>
      <c r="W27" s="1568"/>
      <c r="X27" s="1599"/>
      <c r="Y27" s="1599"/>
      <c r="Z27" s="1568"/>
      <c r="AA27" s="1599"/>
      <c r="AB27" s="1599"/>
    </row>
    <row r="28" spans="1:36" ht="17.25" customHeight="1" x14ac:dyDescent="0.25">
      <c r="A28" s="1649" t="s">
        <v>0</v>
      </c>
      <c r="B28" s="1635" t="s">
        <v>1</v>
      </c>
      <c r="C28" s="1635" t="s">
        <v>7</v>
      </c>
      <c r="D28" s="1635" t="s">
        <v>8</v>
      </c>
      <c r="E28" s="1635" t="s">
        <v>4</v>
      </c>
      <c r="F28" s="1635" t="s">
        <v>5</v>
      </c>
      <c r="G28" s="1635" t="s">
        <v>6</v>
      </c>
      <c r="H28" s="1635" t="s">
        <v>45</v>
      </c>
      <c r="I28" s="1635" t="s">
        <v>353</v>
      </c>
      <c r="J28" s="1641" t="s">
        <v>278</v>
      </c>
      <c r="K28" s="1642"/>
      <c r="L28" s="1643"/>
      <c r="M28" s="1612" t="s">
        <v>352</v>
      </c>
      <c r="N28" s="1606"/>
      <c r="O28" s="1640"/>
      <c r="P28" s="1637"/>
      <c r="Q28" s="1637"/>
      <c r="R28" s="1637"/>
      <c r="S28" s="1637"/>
      <c r="T28" s="1637"/>
      <c r="U28" s="1637"/>
      <c r="V28" s="1637"/>
      <c r="W28" s="1725"/>
      <c r="X28" s="1725"/>
      <c r="Y28" s="1725"/>
      <c r="Z28" s="1725"/>
      <c r="AA28" s="1725"/>
      <c r="AB28" s="1725"/>
    </row>
    <row r="29" spans="1:36" ht="17.25" customHeight="1" x14ac:dyDescent="0.25">
      <c r="A29" s="1676"/>
      <c r="B29" s="1636"/>
      <c r="C29" s="1636"/>
      <c r="D29" s="1636"/>
      <c r="E29" s="1636"/>
      <c r="F29" s="1636"/>
      <c r="G29" s="1636"/>
      <c r="H29" s="1636"/>
      <c r="I29" s="1636"/>
      <c r="J29" s="1644"/>
      <c r="K29" s="1645"/>
      <c r="L29" s="1646"/>
      <c r="M29" s="1609"/>
      <c r="N29" s="1610"/>
      <c r="O29" s="1628"/>
      <c r="P29" s="1726"/>
      <c r="Q29" s="1726"/>
      <c r="R29" s="1726"/>
      <c r="S29" s="1599"/>
      <c r="T29" s="1599"/>
      <c r="U29" s="1599"/>
      <c r="V29" s="1599"/>
      <c r="W29" s="1568"/>
      <c r="X29" s="1599"/>
      <c r="Y29" s="1599"/>
      <c r="Z29" s="1568"/>
      <c r="AA29" s="1599"/>
      <c r="AB29" s="1599"/>
      <c r="AI29" s="364"/>
      <c r="AJ29" s="364"/>
    </row>
    <row r="30" spans="1:36" ht="17.25" customHeight="1" thickBot="1" x14ac:dyDescent="0.3">
      <c r="A30" s="853">
        <f>(VLOOKUP(A2,Таблица_шлемы[],4,0)+VLOOKUP(A2,Таблица_куртки[],4,0)+VLOOKUP(A2,Таблица_брюки[],4,0))</f>
        <v>0</v>
      </c>
      <c r="B30" s="854">
        <f>VLOOKUP(A2,Таблица_шлемы[],6,0)+VLOOKUP(A2,Таблица_куртки[],6,0)+VLOOKUP(A2,Таблица_брюки[],6,0)+VLOOKUP(A17,Таблица_щиты[],6,0)</f>
        <v>0</v>
      </c>
      <c r="C30" s="855">
        <f>VLOOKUP(A2,Таблица_шлемы[],10,0)+VLOOKUP(A2,Таблица_куртки[],10,0)+VLOOKUP(A2,Таблица_брюки[],10,0)+VLOOKUP(A17,Таблица_щиты[],10,0)</f>
        <v>0</v>
      </c>
      <c r="D30" s="855">
        <f>VLOOKUP(A2,Таблица_шлемы[],10,0)+VLOOKUP(A2,Таблица_куртки[],10,0)+VLOOKUP(A2,Таблица_брюки[],10,0)+VLOOKUP(A17,Таблица_щиты[],10,0)</f>
        <v>0</v>
      </c>
      <c r="E30" s="855">
        <f>VLOOKUP(A2,Таблица_шлемы[],10,0)+VLOOKUP(A2,Таблица_куртки[],10,0)+VLOOKUP(A2,Таблица_брюки[],10,0)+VLOOKUP(A17,Таблица_щиты[],10,0)</f>
        <v>0</v>
      </c>
      <c r="F30" s="855">
        <f>VLOOKUP(A2,Таблица_шлемы[],12,0)+VLOOKUP(A2,Таблица_куртки[],12,0)+VLOOKUP(A2,Таблица_брюки[],12,0)+VLOOKUP(A17,Таблица_щиты[],18,0)</f>
        <v>0</v>
      </c>
      <c r="G30" s="855">
        <f>VLOOKUP(A2,Таблица_шлемы[],14,0)+VLOOKUP(A2,Таблица_куртки[],14,0)+VLOOKUP(A2,Таблица_брюки[],14,0)+VLOOKUP(A17,Таблица_щиты[],14,0)</f>
        <v>0</v>
      </c>
      <c r="H30" s="1573">
        <f>VLOOKUP(A17,Таблица_щиты[],12,0)</f>
        <v>0</v>
      </c>
      <c r="I30" s="1574">
        <f>VLOOKUP(A2,Таблица_шлемы[],17,0)+VLOOKUP(A2,Таблица_куртки[],17,0)+VLOOKUP(A2,Таблица_брюки[],17,0)+VLOOKUP(A17,Таблица_щиты[],16,0)</f>
        <v>0</v>
      </c>
      <c r="J30" s="1682">
        <f>(VLOOKUP(A2,Таблица_шлемы[],21,0)+VLOOKUP(A2,Таблица_куртки[],21,0)+VLOOKUP(A2,Таблица_брюки[],21,0))</f>
        <v>0</v>
      </c>
      <c r="K30" s="1629"/>
      <c r="L30" s="1683"/>
      <c r="M30" s="1684">
        <f>VLOOKUP(A2,Таблица_шлемы[],19,0)+VLOOKUP(A2,Таблица_куртки[],19,0)+VLOOKUP(A2,Таблица_брюки[],19,0)</f>
        <v>0</v>
      </c>
      <c r="N30" s="1685"/>
      <c r="O30" s="1686"/>
      <c r="P30" s="1726"/>
      <c r="Q30" s="1726"/>
      <c r="R30" s="1726"/>
      <c r="S30" s="1599"/>
      <c r="T30" s="1599"/>
      <c r="U30" s="1599"/>
      <c r="V30" s="1599"/>
      <c r="W30" s="1568"/>
      <c r="X30" s="1599"/>
      <c r="Y30" s="1599"/>
      <c r="Z30" s="1567"/>
      <c r="AA30" s="1599"/>
      <c r="AB30" s="1599"/>
    </row>
    <row r="31" spans="1:36" ht="17.25" customHeight="1" thickBot="1" x14ac:dyDescent="0.3">
      <c r="A31" s="1665" t="s">
        <v>597</v>
      </c>
      <c r="B31" s="1652"/>
      <c r="C31" s="1652"/>
      <c r="D31" s="1652"/>
      <c r="E31" s="1652"/>
      <c r="F31" s="1652"/>
      <c r="G31" s="1652"/>
      <c r="H31" s="1652"/>
      <c r="I31" s="1652"/>
      <c r="J31" s="1652"/>
      <c r="K31" s="1652"/>
      <c r="L31" s="1652"/>
      <c r="M31" s="1652"/>
      <c r="N31" s="1652"/>
      <c r="O31" s="1653"/>
      <c r="S31" s="765"/>
      <c r="T31" s="765"/>
      <c r="U31" s="765"/>
      <c r="V31" s="765"/>
      <c r="W31" s="765"/>
      <c r="X31" s="765"/>
      <c r="Y31" s="765"/>
      <c r="Z31" s="765"/>
      <c r="AA31" s="765"/>
      <c r="AB31" s="370"/>
    </row>
    <row r="32" spans="1:36" ht="17.25" customHeight="1" x14ac:dyDescent="0.25">
      <c r="A32" s="1678" t="str">
        <f>VLOOKUP($A$2,Таблица_бонусов_сетов[],2,0)</f>
        <v>Точность снайперских винтовок</v>
      </c>
      <c r="B32" s="1679"/>
      <c r="C32" s="1679"/>
      <c r="D32" s="1679"/>
      <c r="E32" s="1679"/>
      <c r="F32" s="1679"/>
      <c r="G32" s="1679"/>
      <c r="H32" s="1523"/>
      <c r="I32" s="1523"/>
      <c r="J32" s="1680">
        <f>VLOOKUP($A$2,Таблица_бонусов_сетов[],3,0)</f>
        <v>-0.15</v>
      </c>
      <c r="K32" s="1680"/>
      <c r="L32" s="1680"/>
      <c r="M32" s="1680"/>
      <c r="N32" s="1680"/>
      <c r="O32" s="1681"/>
      <c r="S32" s="765"/>
      <c r="T32" s="765"/>
      <c r="U32" s="765"/>
      <c r="V32" s="765"/>
      <c r="W32" s="765"/>
      <c r="X32" s="765"/>
      <c r="Y32" s="765"/>
      <c r="Z32" s="765"/>
      <c r="AA32" s="765"/>
    </row>
    <row r="33" spans="1:27" ht="17.25" customHeight="1" x14ac:dyDescent="0.25">
      <c r="A33" s="1625" t="str">
        <f>VLOOKUP($A$2,Таблица_бонусов_сетов[],4,0)</f>
        <v>Время прицеливания штурмовых винтовок</v>
      </c>
      <c r="B33" s="1599"/>
      <c r="C33" s="1599"/>
      <c r="D33" s="1599"/>
      <c r="E33" s="1599"/>
      <c r="F33" s="1599"/>
      <c r="G33" s="1599"/>
      <c r="H33" s="47"/>
      <c r="I33" s="47"/>
      <c r="J33" s="1610" t="str">
        <f>VLOOKUP($A$2,Таблица_бонусов_сетов[],5,0)</f>
        <v>-11%</v>
      </c>
      <c r="K33" s="1610"/>
      <c r="L33" s="1610"/>
      <c r="M33" s="1610"/>
      <c r="N33" s="1610"/>
      <c r="O33" s="1628"/>
      <c r="S33" s="765"/>
      <c r="T33" s="765"/>
      <c r="U33" s="765"/>
      <c r="V33" s="765"/>
      <c r="W33" s="765"/>
      <c r="X33" s="765"/>
      <c r="Y33" s="765"/>
      <c r="Z33" s="765"/>
      <c r="AA33" s="765"/>
    </row>
    <row r="34" spans="1:27" ht="17.25" customHeight="1" x14ac:dyDescent="0.25">
      <c r="A34" s="1625" t="str">
        <f>VLOOKUP($A$2,Таблица_бонусов_сетов[],6,0)</f>
        <v>Урон дробовиков</v>
      </c>
      <c r="B34" s="1599"/>
      <c r="C34" s="1599"/>
      <c r="D34" s="1599"/>
      <c r="E34" s="1599"/>
      <c r="F34" s="1599"/>
      <c r="G34" s="1599"/>
      <c r="H34" s="47"/>
      <c r="I34" s="47"/>
      <c r="J34" s="1610" t="str">
        <f>VLOOKUP($A$2,Таблица_бонусов_сетов[],7,0)</f>
        <v>30%</v>
      </c>
      <c r="K34" s="1610"/>
      <c r="L34" s="1610"/>
      <c r="M34" s="1610"/>
      <c r="N34" s="1610"/>
      <c r="O34" s="1628"/>
    </row>
    <row r="35" spans="1:27" ht="17.25" customHeight="1" x14ac:dyDescent="0.25">
      <c r="A35" s="1625" t="str">
        <f>VLOOKUP($A$2,Таблица_бонусов_сетов[],8,0)</f>
        <v>Мобильность щитов</v>
      </c>
      <c r="B35" s="1599"/>
      <c r="C35" s="1599"/>
      <c r="D35" s="1599"/>
      <c r="E35" s="1599"/>
      <c r="F35" s="1599"/>
      <c r="G35" s="1599"/>
      <c r="H35" s="47"/>
      <c r="I35" s="47"/>
      <c r="J35" s="1610">
        <f>VLOOKUP($A$2,Таблица_бонусов_сетов[],9,0)</f>
        <v>-6</v>
      </c>
      <c r="K35" s="1610"/>
      <c r="L35" s="1610"/>
      <c r="M35" s="1610"/>
      <c r="N35" s="1610"/>
      <c r="O35" s="1628"/>
    </row>
    <row r="36" spans="1:27" ht="17.25" customHeight="1" x14ac:dyDescent="0.25">
      <c r="A36" s="1625" t="str">
        <f>VLOOKUP($A$2,Таблица_бонусов_сетов[],10,0)</f>
        <v>ОД на экипировку щитов</v>
      </c>
      <c r="B36" s="1599"/>
      <c r="C36" s="1599"/>
      <c r="D36" s="1599"/>
      <c r="E36" s="1599"/>
      <c r="F36" s="1599"/>
      <c r="G36" s="1599"/>
      <c r="H36" s="47"/>
      <c r="I36" s="47"/>
      <c r="J36" s="1610">
        <f>VLOOKUP($A$2,Таблица_бонусов_сетов[],11,0)</f>
        <v>-20</v>
      </c>
      <c r="K36" s="1610"/>
      <c r="L36" s="1610"/>
      <c r="M36" s="1610"/>
      <c r="N36" s="1610"/>
      <c r="O36" s="1628"/>
    </row>
    <row r="37" spans="1:27" ht="17.25" customHeight="1" x14ac:dyDescent="0.25">
      <c r="A37" s="1625" t="str">
        <f>VLOOKUP($A$2,Таблица_бонусов_сетов[],12,0)</f>
        <v>снижение урона</v>
      </c>
      <c r="B37" s="1599"/>
      <c r="C37" s="1599"/>
      <c r="D37" s="1599"/>
      <c r="E37" s="1599"/>
      <c r="F37" s="1599"/>
      <c r="G37" s="1599"/>
      <c r="H37" s="47"/>
      <c r="I37" s="47"/>
      <c r="J37" s="1610" t="str">
        <f>VLOOKUP($A$2,Таблица_бонусов_сетов[],13,0)</f>
        <v>3%</v>
      </c>
      <c r="K37" s="1610"/>
      <c r="L37" s="1610"/>
      <c r="M37" s="1610"/>
      <c r="N37" s="1610"/>
      <c r="O37" s="1628"/>
    </row>
    <row r="38" spans="1:27" ht="17.25" customHeight="1" x14ac:dyDescent="0.25">
      <c r="A38" s="1625" t="str">
        <f>VLOOKUP($A$2,Таблица_бонусов_сетов[],14,0)</f>
        <v>Входящее лечение</v>
      </c>
      <c r="B38" s="1599"/>
      <c r="C38" s="1599"/>
      <c r="D38" s="1599"/>
      <c r="E38" s="1599"/>
      <c r="F38" s="1599"/>
      <c r="G38" s="1599"/>
      <c r="H38" s="47"/>
      <c r="I38" s="47"/>
      <c r="J38" s="1610">
        <f>VLOOKUP($A$2,Таблица_бонусов_сетов[],15,0)</f>
        <v>0.25</v>
      </c>
      <c r="K38" s="1610"/>
      <c r="L38" s="1610"/>
      <c r="M38" s="1610"/>
      <c r="N38" s="1610"/>
      <c r="O38" s="1628"/>
    </row>
    <row r="39" spans="1:27" ht="17.25" customHeight="1" x14ac:dyDescent="0.25">
      <c r="A39" s="1625" t="str">
        <f>VLOOKUP($A$2,Таблица_бонусов_сетов[],16,0)</f>
        <v>Точность дробовиков</v>
      </c>
      <c r="B39" s="1599"/>
      <c r="C39" s="1599"/>
      <c r="D39" s="1599"/>
      <c r="E39" s="1599"/>
      <c r="F39" s="1599"/>
      <c r="G39" s="1599"/>
      <c r="H39" s="47"/>
      <c r="I39" s="47"/>
      <c r="J39" s="1610" t="str">
        <f>VLOOKUP($A$2,Таблица_бонусов_сетов[],17,0)</f>
        <v>11%</v>
      </c>
      <c r="K39" s="1610"/>
      <c r="L39" s="1610"/>
      <c r="M39" s="1610"/>
      <c r="N39" s="1610"/>
      <c r="O39" s="1628"/>
    </row>
    <row r="40" spans="1:27" ht="17.25" customHeight="1" x14ac:dyDescent="0.25">
      <c r="A40" s="1625">
        <f>VLOOKUP($A$2,Таблица_бонусов_сетов[],18,0)</f>
        <v>0</v>
      </c>
      <c r="B40" s="1599"/>
      <c r="C40" s="1599"/>
      <c r="D40" s="1599"/>
      <c r="E40" s="1599"/>
      <c r="F40" s="1599"/>
      <c r="G40" s="1599"/>
      <c r="J40" s="1610">
        <f>VLOOKUP($A$2,Таблица_бонусов_сетов[],19,0)</f>
        <v>0</v>
      </c>
      <c r="K40" s="1610"/>
      <c r="L40" s="1610"/>
      <c r="M40" s="1610"/>
      <c r="N40" s="1610"/>
      <c r="O40" s="1628"/>
    </row>
    <row r="41" spans="1:27" ht="17.25" customHeight="1" x14ac:dyDescent="0.25">
      <c r="A41" s="1625">
        <f>VLOOKUP($A$2,Таблица_бонусов_сетов[],20,0)</f>
        <v>0</v>
      </c>
      <c r="B41" s="1599"/>
      <c r="C41" s="1599"/>
      <c r="D41" s="1599"/>
      <c r="E41" s="1599"/>
      <c r="F41" s="1599"/>
      <c r="G41" s="1599"/>
      <c r="J41" s="1610">
        <f>VLOOKUP($A$2,Таблица_бонусов_сетов[],21,0)</f>
        <v>0</v>
      </c>
      <c r="K41" s="1610"/>
      <c r="L41" s="1610"/>
      <c r="M41" s="1610"/>
      <c r="N41" s="1610"/>
      <c r="O41" s="1628"/>
    </row>
    <row r="42" spans="1:27" ht="17.25" customHeight="1" x14ac:dyDescent="0.25">
      <c r="A42" s="1625">
        <f>VLOOKUP($A$2,Таблица_бонусов_сетов[],22,0)</f>
        <v>0</v>
      </c>
      <c r="B42" s="1599"/>
      <c r="C42" s="1599"/>
      <c r="D42" s="1599"/>
      <c r="E42" s="1599"/>
      <c r="F42" s="1599"/>
      <c r="G42" s="1599"/>
      <c r="J42" s="1610">
        <f>VLOOKUP($A$2,Таблица_бонусов_сетов[],23,0)</f>
        <v>0</v>
      </c>
      <c r="K42" s="1610"/>
      <c r="L42" s="1610"/>
      <c r="M42" s="1610"/>
      <c r="N42" s="1610"/>
      <c r="O42" s="1628"/>
    </row>
    <row r="43" spans="1:27" ht="17.25" customHeight="1" x14ac:dyDescent="0.25">
      <c r="A43" s="1625">
        <f>VLOOKUP($A$2,Таблица_бонусов_сетов[],24,0)</f>
        <v>0</v>
      </c>
      <c r="B43" s="1599"/>
      <c r="C43" s="1599"/>
      <c r="D43" s="1599"/>
      <c r="E43" s="1599"/>
      <c r="F43" s="1599"/>
      <c r="G43" s="1599"/>
      <c r="J43" s="1610">
        <f>VLOOKUP($A$2,Таблица_бонусов_сетов[],25,0)</f>
        <v>0</v>
      </c>
      <c r="K43" s="1610"/>
      <c r="L43" s="1610"/>
      <c r="M43" s="1610"/>
      <c r="N43" s="1610"/>
      <c r="O43" s="1628"/>
    </row>
    <row r="44" spans="1:27" ht="17.25" customHeight="1" thickBot="1" x14ac:dyDescent="0.3">
      <c r="A44" s="1626">
        <f>VLOOKUP($A$2,Таблица_бонусов_сетов[],26,0)</f>
        <v>0</v>
      </c>
      <c r="B44" s="1627"/>
      <c r="C44" s="1627"/>
      <c r="D44" s="1627"/>
      <c r="E44" s="1627"/>
      <c r="F44" s="1627"/>
      <c r="G44" s="1627"/>
      <c r="H44" s="984"/>
      <c r="I44" s="984"/>
      <c r="J44" s="1629">
        <f>VLOOKUP($A$2,Таблица_бонусов_сетов[],27,0)</f>
        <v>0</v>
      </c>
      <c r="K44" s="1629"/>
      <c r="L44" s="1629"/>
      <c r="M44" s="1629"/>
      <c r="N44" s="1629"/>
      <c r="O44" s="1630"/>
    </row>
  </sheetData>
  <sheetProtection formatCells="0" selectLockedCells="1"/>
  <mergeCells count="186">
    <mergeCell ref="AH12:AI12"/>
    <mergeCell ref="AJ12:AK12"/>
    <mergeCell ref="AJ13:AK13"/>
    <mergeCell ref="AG14:AH14"/>
    <mergeCell ref="AG15:AH15"/>
    <mergeCell ref="AG16:AH16"/>
    <mergeCell ref="AG13:AH13"/>
    <mergeCell ref="AH1:AK1"/>
    <mergeCell ref="AI4:AJ4"/>
    <mergeCell ref="AI5:AJ5"/>
    <mergeCell ref="AI6:AJ6"/>
    <mergeCell ref="AH8:AK8"/>
    <mergeCell ref="AH9:AI9"/>
    <mergeCell ref="AJ9:AK9"/>
    <mergeCell ref="AH11:AI11"/>
    <mergeCell ref="AJ11:AK11"/>
    <mergeCell ref="J40:O40"/>
    <mergeCell ref="J41:O41"/>
    <mergeCell ref="P28:V28"/>
    <mergeCell ref="W28:Y28"/>
    <mergeCell ref="Z28:AB28"/>
    <mergeCell ref="P29:R29"/>
    <mergeCell ref="P30:R30"/>
    <mergeCell ref="S29:V29"/>
    <mergeCell ref="S30:V30"/>
    <mergeCell ref="X29:Y29"/>
    <mergeCell ref="X30:Y30"/>
    <mergeCell ref="AA29:AB29"/>
    <mergeCell ref="AA30:AB30"/>
    <mergeCell ref="A31:O31"/>
    <mergeCell ref="A40:G40"/>
    <mergeCell ref="A41:G41"/>
    <mergeCell ref="A35:G35"/>
    <mergeCell ref="A36:G36"/>
    <mergeCell ref="C28:C29"/>
    <mergeCell ref="B28:B29"/>
    <mergeCell ref="A28:A29"/>
    <mergeCell ref="G28:G29"/>
    <mergeCell ref="F28:F29"/>
    <mergeCell ref="E28:E29"/>
    <mergeCell ref="AD25:AE25"/>
    <mergeCell ref="V15:AB16"/>
    <mergeCell ref="AB17:AB18"/>
    <mergeCell ref="AA17:AA18"/>
    <mergeCell ref="Z17:Z18"/>
    <mergeCell ref="Y17:Y18"/>
    <mergeCell ref="X17:X18"/>
    <mergeCell ref="W17:W18"/>
    <mergeCell ref="S17:U18"/>
    <mergeCell ref="P10:U11"/>
    <mergeCell ref="P12:U14"/>
    <mergeCell ref="W25:Y25"/>
    <mergeCell ref="AA10:AA11"/>
    <mergeCell ref="AB10:AB11"/>
    <mergeCell ref="V4:W5"/>
    <mergeCell ref="X4:X5"/>
    <mergeCell ref="Y4:Y5"/>
    <mergeCell ref="W6:W8"/>
    <mergeCell ref="V6:V8"/>
    <mergeCell ref="V12:V14"/>
    <mergeCell ref="W12:W14"/>
    <mergeCell ref="V22:V23"/>
    <mergeCell ref="V10:W11"/>
    <mergeCell ref="X10:X11"/>
    <mergeCell ref="Y10:Y11"/>
    <mergeCell ref="Z10:Z11"/>
    <mergeCell ref="V20:AB21"/>
    <mergeCell ref="S22:U23"/>
    <mergeCell ref="AB22:AB23"/>
    <mergeCell ref="AA22:AA23"/>
    <mergeCell ref="Z22:Z23"/>
    <mergeCell ref="S26:V26"/>
    <mergeCell ref="S27:V27"/>
    <mergeCell ref="X26:Y26"/>
    <mergeCell ref="X27:Y27"/>
    <mergeCell ref="Z25:AB25"/>
    <mergeCell ref="AA26:AB26"/>
    <mergeCell ref="AA27:AB27"/>
    <mergeCell ref="D12:D13"/>
    <mergeCell ref="C12:C13"/>
    <mergeCell ref="X12:X14"/>
    <mergeCell ref="Y12:Y14"/>
    <mergeCell ref="AB12:AB14"/>
    <mergeCell ref="P15:U16"/>
    <mergeCell ref="S24:U24"/>
    <mergeCell ref="Y22:Y23"/>
    <mergeCell ref="X22:X23"/>
    <mergeCell ref="W22:W23"/>
    <mergeCell ref="A27:I27"/>
    <mergeCell ref="G24:G25"/>
    <mergeCell ref="H24:H25"/>
    <mergeCell ref="I24:I25"/>
    <mergeCell ref="A17:I18"/>
    <mergeCell ref="A24:A25"/>
    <mergeCell ref="B24:B25"/>
    <mergeCell ref="C19:C20"/>
    <mergeCell ref="D19:D20"/>
    <mergeCell ref="I12:I13"/>
    <mergeCell ref="H12:H13"/>
    <mergeCell ref="I8:I9"/>
    <mergeCell ref="D4:D5"/>
    <mergeCell ref="C4:C5"/>
    <mergeCell ref="B12:B13"/>
    <mergeCell ref="E19:E20"/>
    <mergeCell ref="F19:F20"/>
    <mergeCell ref="G19:G20"/>
    <mergeCell ref="H19:H20"/>
    <mergeCell ref="I19:I20"/>
    <mergeCell ref="F4:F5"/>
    <mergeCell ref="A7:I7"/>
    <mergeCell ref="E4:E5"/>
    <mergeCell ref="I4:I5"/>
    <mergeCell ref="A12:A13"/>
    <mergeCell ref="G12:G13"/>
    <mergeCell ref="F12:F13"/>
    <mergeCell ref="E12:E13"/>
    <mergeCell ref="E8:E9"/>
    <mergeCell ref="D8:D9"/>
    <mergeCell ref="C8:C9"/>
    <mergeCell ref="C24:C25"/>
    <mergeCell ref="D24:D25"/>
    <mergeCell ref="E24:E25"/>
    <mergeCell ref="F24:F25"/>
    <mergeCell ref="J38:O38"/>
    <mergeCell ref="J39:O39"/>
    <mergeCell ref="A11:H11"/>
    <mergeCell ref="A38:G38"/>
    <mergeCell ref="A33:G33"/>
    <mergeCell ref="A32:G32"/>
    <mergeCell ref="A39:G39"/>
    <mergeCell ref="A37:G37"/>
    <mergeCell ref="J32:O32"/>
    <mergeCell ref="J33:O33"/>
    <mergeCell ref="J34:O34"/>
    <mergeCell ref="A34:G34"/>
    <mergeCell ref="J36:O36"/>
    <mergeCell ref="J35:O35"/>
    <mergeCell ref="J37:O37"/>
    <mergeCell ref="J30:L30"/>
    <mergeCell ref="M30:O30"/>
    <mergeCell ref="B19:B20"/>
    <mergeCell ref="A16:I16"/>
    <mergeCell ref="A19:A20"/>
    <mergeCell ref="Q1:AB1"/>
    <mergeCell ref="V2:AB3"/>
    <mergeCell ref="A2:I3"/>
    <mergeCell ref="Z4:Z5"/>
    <mergeCell ref="AA4:AB5"/>
    <mergeCell ref="A1:O1"/>
    <mergeCell ref="B4:B5"/>
    <mergeCell ref="F8:F9"/>
    <mergeCell ref="X6:X8"/>
    <mergeCell ref="Y6:Y8"/>
    <mergeCell ref="H8:H9"/>
    <mergeCell ref="V9:AB9"/>
    <mergeCell ref="P8:U9"/>
    <mergeCell ref="H4:H5"/>
    <mergeCell ref="G4:G5"/>
    <mergeCell ref="A4:A5"/>
    <mergeCell ref="B8:B9"/>
    <mergeCell ref="A8:A9"/>
    <mergeCell ref="G8:G9"/>
    <mergeCell ref="A42:G42"/>
    <mergeCell ref="A43:G43"/>
    <mergeCell ref="A44:G44"/>
    <mergeCell ref="J42:O42"/>
    <mergeCell ref="J43:O43"/>
    <mergeCell ref="J44:O44"/>
    <mergeCell ref="AC2:AE2"/>
    <mergeCell ref="AC1:AF1"/>
    <mergeCell ref="AC3:AE3"/>
    <mergeCell ref="AC4:AE4"/>
    <mergeCell ref="AC5:AE5"/>
    <mergeCell ref="AC6:AE6"/>
    <mergeCell ref="A23:I23"/>
    <mergeCell ref="D28:D29"/>
    <mergeCell ref="P25:V25"/>
    <mergeCell ref="V17:V18"/>
    <mergeCell ref="M28:O29"/>
    <mergeCell ref="J28:L29"/>
    <mergeCell ref="I28:I29"/>
    <mergeCell ref="H28:H29"/>
    <mergeCell ref="P17:R18"/>
    <mergeCell ref="P19:R19"/>
    <mergeCell ref="S19:U19"/>
    <mergeCell ref="P20:U21"/>
  </mergeCells>
  <conditionalFormatting sqref="B6">
    <cfRule type="expression" dxfId="1147" priority="84">
      <formula>SUM($J$7,$O$7)&gt;0</formula>
    </cfRule>
  </conditionalFormatting>
  <conditionalFormatting sqref="A6">
    <cfRule type="cellIs" dxfId="1146" priority="62" operator="lessThan">
      <formula>0</formula>
    </cfRule>
    <cfRule type="expression" dxfId="1145" priority="83">
      <formula>SUM($M$7,$N$7)&gt;0</formula>
    </cfRule>
  </conditionalFormatting>
  <conditionalFormatting sqref="C6:E6">
    <cfRule type="expression" dxfId="1144" priority="82">
      <formula>SUM($O$7,0)&gt;0</formula>
    </cfRule>
  </conditionalFormatting>
  <conditionalFormatting sqref="F6">
    <cfRule type="expression" dxfId="1143" priority="81">
      <formula>SUM($M$7,$N$7)&gt;0</formula>
    </cfRule>
  </conditionalFormatting>
  <conditionalFormatting sqref="G6">
    <cfRule type="expression" dxfId="1142" priority="80">
      <formula>SUM($L$7,0)&gt;0</formula>
    </cfRule>
  </conditionalFormatting>
  <conditionalFormatting sqref="I6">
    <cfRule type="expression" dxfId="1141" priority="79">
      <formula>SUM($L$7,0)&gt;0</formula>
    </cfRule>
  </conditionalFormatting>
  <conditionalFormatting sqref="A10 A15">
    <cfRule type="cellIs" dxfId="1140" priority="61" operator="lessThan">
      <formula>0</formula>
    </cfRule>
    <cfRule type="expression" dxfId="1139" priority="78">
      <formula>SUM($M$15,$N$15)&gt;0</formula>
    </cfRule>
  </conditionalFormatting>
  <conditionalFormatting sqref="B10">
    <cfRule type="expression" dxfId="1138" priority="77">
      <formula>SUM($J$11,$O$11)&gt;0</formula>
    </cfRule>
  </conditionalFormatting>
  <conditionalFormatting sqref="C10:E10">
    <cfRule type="expression" dxfId="1137" priority="76">
      <formula>SUM($O$11,0)&gt;0</formula>
    </cfRule>
  </conditionalFormatting>
  <conditionalFormatting sqref="F10">
    <cfRule type="expression" dxfId="1136" priority="75">
      <formula>SUM($M$11,$N$11)&gt;0</formula>
    </cfRule>
  </conditionalFormatting>
  <conditionalFormatting sqref="G10">
    <cfRule type="expression" dxfId="1135" priority="74">
      <formula>SUM($L$11,0)&gt;0</formula>
    </cfRule>
  </conditionalFormatting>
  <conditionalFormatting sqref="I10">
    <cfRule type="expression" dxfId="1134" priority="73">
      <formula>SUM($L$11,0)&gt;0</formula>
    </cfRule>
  </conditionalFormatting>
  <conditionalFormatting sqref="A14">
    <cfRule type="cellIs" dxfId="1133" priority="60" operator="lessThan">
      <formula>0</formula>
    </cfRule>
    <cfRule type="expression" dxfId="1132" priority="72">
      <formula>SUM($M$15,$N$15)&gt;0</formula>
    </cfRule>
  </conditionalFormatting>
  <conditionalFormatting sqref="B14:B15">
    <cfRule type="expression" dxfId="1131" priority="71">
      <formula>SUM($J$15,$O$15)&gt;0</formula>
    </cfRule>
  </conditionalFormatting>
  <conditionalFormatting sqref="C14:E15">
    <cfRule type="expression" dxfId="1130" priority="70">
      <formula>SUM($O$15,0)&gt;0</formula>
    </cfRule>
  </conditionalFormatting>
  <conditionalFormatting sqref="F14:F15">
    <cfRule type="expression" dxfId="1129" priority="69">
      <formula>SUM($M$15,$N$15)&gt;0</formula>
    </cfRule>
  </conditionalFormatting>
  <conditionalFormatting sqref="G14:G15 I15">
    <cfRule type="expression" dxfId="1128" priority="68">
      <formula>SUM($L$15,0)&gt;0</formula>
    </cfRule>
  </conditionalFormatting>
  <conditionalFormatting sqref="I14">
    <cfRule type="expression" dxfId="1127" priority="67">
      <formula>SUM($L$15,0)&gt;0</formula>
    </cfRule>
  </conditionalFormatting>
  <conditionalFormatting sqref="J7:O7">
    <cfRule type="expression" dxfId="1126" priority="65">
      <formula>SUM($J$7:$O$7)&gt;5</formula>
    </cfRule>
  </conditionalFormatting>
  <conditionalFormatting sqref="J11:O11">
    <cfRule type="expression" dxfId="1125" priority="64">
      <formula>SUM($J$11:$O$11)&gt;5</formula>
    </cfRule>
  </conditionalFormatting>
  <conditionalFormatting sqref="J15:O15">
    <cfRule type="expression" dxfId="1124" priority="63">
      <formula>SUM($J$15:$O$15)&gt;5</formula>
    </cfRule>
  </conditionalFormatting>
  <conditionalFormatting sqref="A16:A17 A26 A21:A23">
    <cfRule type="cellIs" dxfId="1123" priority="59" operator="lessThan">
      <formula>0</formula>
    </cfRule>
  </conditionalFormatting>
  <conditionalFormatting sqref="A30:M30">
    <cfRule type="cellIs" dxfId="1122" priority="58" operator="greaterThan">
      <formula>0</formula>
    </cfRule>
  </conditionalFormatting>
  <conditionalFormatting sqref="J32 J33">
    <cfRule type="cellIs" dxfId="1121" priority="57" operator="lessThan">
      <formula>0</formula>
    </cfRule>
  </conditionalFormatting>
  <conditionalFormatting sqref="J22:O22">
    <cfRule type="expression" dxfId="1120" priority="40">
      <formula>SUM($J$22:$O$22)&gt;5</formula>
    </cfRule>
  </conditionalFormatting>
  <conditionalFormatting sqref="B21:B22">
    <cfRule type="expression" dxfId="1119" priority="85">
      <formula>SUM($J$22,$N$22)&gt;0</formula>
    </cfRule>
  </conditionalFormatting>
  <conditionalFormatting sqref="C21:E22">
    <cfRule type="expression" dxfId="1118" priority="86">
      <formula>SUM($N$22,0)&gt;0</formula>
    </cfRule>
  </conditionalFormatting>
  <conditionalFormatting sqref="F21:F22">
    <cfRule type="expression" dxfId="1117" priority="89">
      <formula>SUM($M$22)&gt;0</formula>
    </cfRule>
  </conditionalFormatting>
  <conditionalFormatting sqref="G21:G22">
    <cfRule type="expression" dxfId="1116" priority="90">
      <formula>SUM($L$22,0)&gt;0</formula>
    </cfRule>
  </conditionalFormatting>
  <conditionalFormatting sqref="I21:I22">
    <cfRule type="expression" dxfId="1115" priority="91">
      <formula>SUM($M$22,$L$22)&gt;0</formula>
    </cfRule>
  </conditionalFormatting>
  <conditionalFormatting sqref="H21:H22">
    <cfRule type="expression" dxfId="1114" priority="92">
      <formula>SUM($K$22,0)&gt;0</formula>
    </cfRule>
  </conditionalFormatting>
  <conditionalFormatting sqref="P7:U7">
    <cfRule type="expression" dxfId="1113" priority="38">
      <formula>SUM($P$7:$U$7)&gt;5</formula>
    </cfRule>
  </conditionalFormatting>
  <conditionalFormatting sqref="V6:W6">
    <cfRule type="expression" dxfId="1112" priority="37">
      <formula>SUM($P$7,$S$7)&gt;0</formula>
    </cfRule>
  </conditionalFormatting>
  <conditionalFormatting sqref="X6:X8">
    <cfRule type="expression" dxfId="1111" priority="36">
      <formula>SUM($Q$7,$R$7)&gt;0</formula>
    </cfRule>
  </conditionalFormatting>
  <conditionalFormatting sqref="Y6:Y8">
    <cfRule type="expression" dxfId="1110" priority="35">
      <formula>SUM($P$7,$S$7)&gt;0</formula>
    </cfRule>
  </conditionalFormatting>
  <conditionalFormatting sqref="Z6 Z7 Z8">
    <cfRule type="expression" dxfId="1109" priority="34">
      <formula>SUM($R$7,$T$7)&gt;0</formula>
    </cfRule>
  </conditionalFormatting>
  <conditionalFormatting sqref="Z8">
    <cfRule type="cellIs" dxfId="1108" priority="33" operator="equal">
      <formula>0</formula>
    </cfRule>
  </conditionalFormatting>
  <conditionalFormatting sqref="AB6 AB7 AB8">
    <cfRule type="expression" dxfId="1107" priority="32">
      <formula>SUM($Q$7,$T$7)&gt;0</formula>
    </cfRule>
  </conditionalFormatting>
  <conditionalFormatting sqref="AB8">
    <cfRule type="cellIs" dxfId="1106" priority="31" operator="equal">
      <formula>0</formula>
    </cfRule>
  </conditionalFormatting>
  <conditionalFormatting sqref="V12:AB14">
    <cfRule type="cellIs" dxfId="1105" priority="30" operator="greaterThan">
      <formula>0</formula>
    </cfRule>
  </conditionalFormatting>
  <conditionalFormatting sqref="Z14">
    <cfRule type="cellIs" dxfId="1104" priority="29" operator="equal">
      <formula>0</formula>
    </cfRule>
  </conditionalFormatting>
  <conditionalFormatting sqref="AA14">
    <cfRule type="cellIs" dxfId="1103" priority="28" operator="equal">
      <formula>0</formula>
    </cfRule>
  </conditionalFormatting>
  <conditionalFormatting sqref="P10:U11">
    <cfRule type="containsText" dxfId="1102" priority="23" operator="containsText" text="отравление">
      <formula>NOT(ISERROR(SEARCH("отравление",P10)))</formula>
    </cfRule>
    <cfRule type="containsText" dxfId="1101" priority="24" operator="containsText" text="урон по мобам">
      <formula>NOT(ISERROR(SEARCH("урон по мобам",P10)))</formula>
    </cfRule>
  </conditionalFormatting>
  <conditionalFormatting sqref="P12:U14">
    <cfRule type="cellIs" dxfId="1100" priority="2" operator="equal">
      <formula>0</formula>
    </cfRule>
    <cfRule type="cellIs" dxfId="1099" priority="11" operator="greaterThan">
      <formula>1</formula>
    </cfRule>
    <cfRule type="expression" dxfId="1098" priority="14">
      <formula>$P$10="Урон по мобам"</formula>
    </cfRule>
    <cfRule type="expression" dxfId="1097" priority="15">
      <formula>$P$10="Отравление"</formula>
    </cfRule>
    <cfRule type="expression" dxfId="1096" priority="16">
      <formula>$P$10="шок"</formula>
    </cfRule>
    <cfRule type="cellIs" dxfId="1095" priority="20" operator="lessThan">
      <formula>1</formula>
    </cfRule>
  </conditionalFormatting>
  <conditionalFormatting sqref="P10">
    <cfRule type="containsText" dxfId="1094" priority="17" operator="containsText" text="шок">
      <formula>NOT(ISERROR(SEARCH("шок",P10)))</formula>
    </cfRule>
  </conditionalFormatting>
  <conditionalFormatting sqref="AB12:AB14">
    <cfRule type="cellIs" dxfId="1093" priority="12" operator="lessThan">
      <formula>1</formula>
    </cfRule>
    <cfRule type="cellIs" dxfId="1092" priority="13" operator="greaterThan">
      <formula>1</formula>
    </cfRule>
  </conditionalFormatting>
  <conditionalFormatting sqref="J32:O44">
    <cfRule type="cellIs" dxfId="1091" priority="9" operator="between">
      <formula>-0.9</formula>
      <formula>1</formula>
    </cfRule>
  </conditionalFormatting>
  <conditionalFormatting sqref="A32:O41 A42:G44 J42:O44">
    <cfRule type="cellIs" dxfId="1090" priority="8" operator="equal">
      <formula>0</formula>
    </cfRule>
  </conditionalFormatting>
  <conditionalFormatting sqref="AF2:AF6">
    <cfRule type="cellIs" dxfId="1089" priority="5" operator="equal">
      <formula>0</formula>
    </cfRule>
  </conditionalFormatting>
  <conditionalFormatting sqref="J35:O35">
    <cfRule type="cellIs" dxfId="1088" priority="4" operator="equal">
      <formula>1</formula>
    </cfRule>
  </conditionalFormatting>
  <conditionalFormatting sqref="AK3">
    <cfRule type="expression" dxfId="1087" priority="1">
      <formula>OR(SUM(M7,N7)&gt;0,SUM(M11,N11)&gt;0,SUM(M15,N15)&gt;0)</formula>
    </cfRule>
  </conditionalFormatting>
  <dataValidations count="7">
    <dataValidation type="list" allowBlank="1" showInputMessage="1" showErrorMessage="1" sqref="J15:O15 J11:O11 J7:U7 J22:N22" xr:uid="{00000000-0002-0000-0200-000000000000}">
      <formula1>"0,1,2,3,4,5"</formula1>
    </dataValidation>
    <dataValidation type="list" allowBlank="1" showInputMessage="1" showErrorMessage="1" sqref="A2" xr:uid="{00000000-0002-0000-0200-000001000000}">
      <formula1>INDIRECT("Таблица_шлемы[название]")</formula1>
    </dataValidation>
    <dataValidation type="list" allowBlank="1" showInputMessage="1" showErrorMessage="1" sqref="V2" xr:uid="{00000000-0002-0000-0200-000002000000}">
      <formula1>INDIRECT("Таблица_оружие[Название]")</formula1>
    </dataValidation>
    <dataValidation type="list" allowBlank="1" showInputMessage="1" showErrorMessage="1" sqref="V15:AB16" xr:uid="{00000000-0002-0000-0200-000003000000}">
      <formula1>INDIRECT("Таблица_гранаты[Название]")</formula1>
    </dataValidation>
    <dataValidation type="list" allowBlank="1" showInputMessage="1" showErrorMessage="1" sqref="V20:AB21" xr:uid="{00000000-0002-0000-0200-000004000000}">
      <formula1>INDIRECT("Таблица_мины[Название]")</formula1>
    </dataValidation>
    <dataValidation type="list" showInputMessage="1" showErrorMessage="1" sqref="A17:I18" xr:uid="{00000000-0002-0000-0200-000005000000}">
      <formula1>INDIRECT("Таблица_щиты[название]")</formula1>
    </dataValidation>
    <dataValidation type="list" allowBlank="1" showInputMessage="1" showErrorMessage="1" sqref="P8" xr:uid="{00000000-0002-0000-0200-000006000000}">
      <formula1>"Выберите тип патронов,Кинетические,Зажигательные,Химические,Электромагнитные"</formula1>
    </dataValidation>
  </dataValidations>
  <pageMargins left="0.7" right="0.7" top="0.75" bottom="0.75" header="0.3" footer="0.3"/>
  <pageSetup paperSize="9" orientation="portrait" r:id="rId1"/>
  <drawing r:id="rId2"/>
  <legacyDrawing r:id="rId3"/>
  <picture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/>
  <dimension ref="A1:AP155"/>
  <sheetViews>
    <sheetView zoomScale="70" zoomScaleNormal="70" workbookViewId="0">
      <selection activeCell="K10" sqref="K10"/>
    </sheetView>
  </sheetViews>
  <sheetFormatPr defaultColWidth="13.7109375" defaultRowHeight="33" customHeight="1" x14ac:dyDescent="0.25"/>
  <cols>
    <col min="1" max="1" width="21.140625" style="43" customWidth="1"/>
    <col min="2" max="2" width="12.85546875" customWidth="1"/>
    <col min="3" max="4" width="13.7109375" customWidth="1"/>
    <col min="5" max="6" width="13.7109375" style="643" customWidth="1"/>
    <col min="7" max="8" width="13.7109375" customWidth="1"/>
    <col min="9" max="9" width="13.7109375" style="648" customWidth="1"/>
    <col min="10" max="10" width="13.7109375" style="643" customWidth="1"/>
    <col min="11" max="11" width="13.7109375" customWidth="1"/>
    <col min="12" max="12" width="13.7109375" style="643" customWidth="1"/>
    <col min="13" max="15" width="13.7109375" customWidth="1"/>
    <col min="16" max="18" width="13.7109375" style="643" customWidth="1"/>
    <col min="19" max="19" width="13.7109375" customWidth="1"/>
    <col min="25" max="27" width="13.7109375" style="643"/>
    <col min="35" max="35" width="13.7109375" style="643"/>
  </cols>
  <sheetData>
    <row r="1" spans="1:42" s="792" customFormat="1" ht="33" customHeight="1" x14ac:dyDescent="0.25">
      <c r="A1" s="773" t="s">
        <v>324</v>
      </c>
      <c r="B1" s="774" t="s">
        <v>613</v>
      </c>
      <c r="C1" s="775" t="s">
        <v>91</v>
      </c>
      <c r="D1" s="776" t="s">
        <v>92</v>
      </c>
      <c r="E1" s="776" t="s">
        <v>337</v>
      </c>
      <c r="F1" s="777" t="s">
        <v>343</v>
      </c>
      <c r="G1" s="778" t="s">
        <v>314</v>
      </c>
      <c r="H1" s="779" t="s">
        <v>87</v>
      </c>
      <c r="I1" s="780" t="s">
        <v>93</v>
      </c>
      <c r="J1" s="781" t="s">
        <v>344</v>
      </c>
      <c r="K1" s="780" t="s">
        <v>94</v>
      </c>
      <c r="L1" s="782" t="s">
        <v>347</v>
      </c>
      <c r="M1" s="780" t="s">
        <v>95</v>
      </c>
      <c r="N1" s="783" t="s">
        <v>96</v>
      </c>
      <c r="O1" s="783" t="s">
        <v>610</v>
      </c>
      <c r="P1" s="784" t="s">
        <v>348</v>
      </c>
      <c r="Q1" s="784" t="s">
        <v>600</v>
      </c>
      <c r="R1" s="785" t="s">
        <v>603</v>
      </c>
      <c r="S1" s="780" t="s">
        <v>97</v>
      </c>
      <c r="T1" s="783" t="s">
        <v>98</v>
      </c>
      <c r="U1" s="783" t="s">
        <v>99</v>
      </c>
      <c r="V1" s="783" t="s">
        <v>100</v>
      </c>
      <c r="W1" s="783" t="s">
        <v>101</v>
      </c>
      <c r="X1" s="783" t="s">
        <v>463</v>
      </c>
      <c r="Y1" s="783" t="s">
        <v>604</v>
      </c>
      <c r="Z1" s="783" t="s">
        <v>611</v>
      </c>
      <c r="AA1" s="781" t="s">
        <v>612</v>
      </c>
      <c r="AB1" s="782" t="s">
        <v>464</v>
      </c>
      <c r="AC1" s="786" t="s">
        <v>327</v>
      </c>
      <c r="AD1" s="787" t="s">
        <v>465</v>
      </c>
      <c r="AE1" s="788" t="s">
        <v>466</v>
      </c>
      <c r="AF1" s="788" t="s">
        <v>467</v>
      </c>
      <c r="AG1" s="789" t="s">
        <v>468</v>
      </c>
      <c r="AH1" s="790" t="s">
        <v>428</v>
      </c>
      <c r="AI1" s="791" t="s">
        <v>659</v>
      </c>
      <c r="AJ1" s="926" t="s">
        <v>473</v>
      </c>
      <c r="AK1" s="927" t="s">
        <v>474</v>
      </c>
      <c r="AL1" s="927" t="s">
        <v>475</v>
      </c>
      <c r="AM1" s="928" t="s">
        <v>476</v>
      </c>
      <c r="AN1" s="947" t="s">
        <v>660</v>
      </c>
      <c r="AO1" s="947" t="s">
        <v>661</v>
      </c>
      <c r="AP1" s="936" t="s">
        <v>683</v>
      </c>
    </row>
    <row r="2" spans="1:42" ht="33" customHeight="1" x14ac:dyDescent="0.25">
      <c r="A2" s="561" t="s">
        <v>605</v>
      </c>
      <c r="B2" s="613"/>
      <c r="C2" s="611">
        <v>0</v>
      </c>
      <c r="D2" s="611">
        <v>0</v>
      </c>
      <c r="E2" s="642">
        <v>0</v>
      </c>
      <c r="F2" s="644">
        <v>0</v>
      </c>
      <c r="G2" s="561">
        <v>0</v>
      </c>
      <c r="H2" s="559">
        <v>0</v>
      </c>
      <c r="I2" s="645">
        <v>0</v>
      </c>
      <c r="J2" s="649">
        <v>0</v>
      </c>
      <c r="K2" s="600">
        <v>0</v>
      </c>
      <c r="L2" s="650">
        <v>0</v>
      </c>
      <c r="M2" s="566">
        <v>0</v>
      </c>
      <c r="N2" s="360">
        <v>0</v>
      </c>
      <c r="O2" s="360">
        <v>0</v>
      </c>
      <c r="P2" s="642">
        <v>0</v>
      </c>
      <c r="Q2" s="642">
        <v>0</v>
      </c>
      <c r="R2" s="644">
        <v>0</v>
      </c>
      <c r="S2" s="566">
        <v>0</v>
      </c>
      <c r="T2" s="360">
        <v>0</v>
      </c>
      <c r="U2" s="360">
        <v>0</v>
      </c>
      <c r="V2" s="360">
        <v>0</v>
      </c>
      <c r="W2" s="360">
        <v>0</v>
      </c>
      <c r="X2" s="360">
        <v>0</v>
      </c>
      <c r="Y2" s="651">
        <v>0</v>
      </c>
      <c r="Z2" s="651">
        <v>0</v>
      </c>
      <c r="AA2" s="649">
        <v>0</v>
      </c>
      <c r="AB2" s="617">
        <v>0</v>
      </c>
      <c r="AC2" s="360">
        <v>0</v>
      </c>
      <c r="AD2" s="360">
        <v>0</v>
      </c>
      <c r="AE2" s="561">
        <v>0</v>
      </c>
      <c r="AF2" s="360">
        <v>0</v>
      </c>
      <c r="AG2" s="559">
        <v>0</v>
      </c>
      <c r="AH2" s="605">
        <v>0</v>
      </c>
      <c r="AI2" s="919">
        <f>Таблица_оружие[[#This Row],[крит множ]]+(Таблица_оружие[[#This Row],[крит множ]]*(Примерочная!$S$7*VLOOKUP(Примерочная!$V$2,Таблица_моды_оружие[],6,0)))</f>
        <v>0</v>
      </c>
      <c r="AJ2" s="566">
        <v>0</v>
      </c>
      <c r="AK2" s="360">
        <v>0</v>
      </c>
      <c r="AL2" s="360">
        <v>0</v>
      </c>
      <c r="AM2" s="559">
        <v>0</v>
      </c>
      <c r="AN2" s="938">
        <v>0</v>
      </c>
      <c r="AO2" s="918">
        <v>0</v>
      </c>
      <c r="AP2" s="948">
        <v>0</v>
      </c>
    </row>
    <row r="3" spans="1:42" ht="33" customHeight="1" x14ac:dyDescent="0.25">
      <c r="A3" s="653"/>
      <c r="B3" s="654"/>
      <c r="C3" s="727"/>
      <c r="D3" s="639"/>
      <c r="E3" s="651"/>
      <c r="F3" s="649"/>
      <c r="G3" s="655"/>
      <c r="H3" s="656"/>
      <c r="I3" s="645"/>
      <c r="J3" s="649"/>
      <c r="K3" s="727"/>
      <c r="L3" s="650"/>
      <c r="M3" s="640"/>
      <c r="N3" s="657"/>
      <c r="O3" s="657"/>
      <c r="P3" s="642"/>
      <c r="Q3" s="642"/>
      <c r="R3" s="644"/>
      <c r="S3" s="640"/>
      <c r="T3" s="657"/>
      <c r="U3" s="657"/>
      <c r="V3" s="657"/>
      <c r="W3" s="657"/>
      <c r="X3" s="657"/>
      <c r="Y3" s="651"/>
      <c r="Z3" s="651"/>
      <c r="AA3" s="649"/>
      <c r="AB3" s="658"/>
      <c r="AC3" s="657"/>
      <c r="AD3" s="657"/>
      <c r="AE3" s="653"/>
      <c r="AF3" s="657"/>
      <c r="AG3" s="654"/>
      <c r="AH3" s="659"/>
      <c r="AI3" s="919"/>
      <c r="AJ3" s="640"/>
      <c r="AK3" s="660"/>
      <c r="AL3" s="660"/>
      <c r="AM3" s="686"/>
      <c r="AN3" s="938"/>
      <c r="AO3" s="918"/>
      <c r="AP3" s="948"/>
    </row>
    <row r="4" spans="1:42" s="677" customFormat="1" ht="33" customHeight="1" x14ac:dyDescent="0.25">
      <c r="A4" s="738" t="s">
        <v>51</v>
      </c>
      <c r="B4" s="662"/>
      <c r="C4" s="728"/>
      <c r="D4" s="733"/>
      <c r="E4" s="663"/>
      <c r="F4" s="664"/>
      <c r="G4" s="665"/>
      <c r="H4" s="666"/>
      <c r="I4" s="667"/>
      <c r="J4" s="664"/>
      <c r="K4" s="728"/>
      <c r="L4" s="669"/>
      <c r="M4" s="668"/>
      <c r="N4" s="661"/>
      <c r="O4" s="661"/>
      <c r="P4" s="670"/>
      <c r="Q4" s="670"/>
      <c r="R4" s="671"/>
      <c r="S4" s="668"/>
      <c r="T4" s="661"/>
      <c r="U4" s="661"/>
      <c r="V4" s="661"/>
      <c r="W4" s="661"/>
      <c r="X4" s="661"/>
      <c r="Y4" s="663"/>
      <c r="Z4" s="663"/>
      <c r="AA4" s="664"/>
      <c r="AB4" s="672"/>
      <c r="AC4" s="661"/>
      <c r="AD4" s="661"/>
      <c r="AE4" s="673"/>
      <c r="AF4" s="661"/>
      <c r="AG4" s="674"/>
      <c r="AH4" s="675"/>
      <c r="AI4" s="920"/>
      <c r="AJ4" s="929"/>
      <c r="AK4" s="676"/>
      <c r="AL4" s="676"/>
      <c r="AM4" s="662"/>
      <c r="AN4" s="939"/>
      <c r="AO4" s="937"/>
      <c r="AP4" s="949"/>
    </row>
    <row r="5" spans="1:42" s="610" customFormat="1" ht="33" customHeight="1" x14ac:dyDescent="0.25">
      <c r="A5" s="607"/>
      <c r="B5" s="638"/>
      <c r="C5" s="608"/>
      <c r="D5" s="495"/>
      <c r="E5" s="652"/>
      <c r="F5" s="915"/>
      <c r="G5" s="607"/>
      <c r="H5" s="609"/>
      <c r="I5" s="646"/>
      <c r="J5" s="916"/>
      <c r="K5" s="608"/>
      <c r="L5" s="917"/>
      <c r="M5" s="608"/>
      <c r="N5" s="495"/>
      <c r="O5" s="495"/>
      <c r="P5" s="652"/>
      <c r="Q5" s="652"/>
      <c r="R5" s="915"/>
      <c r="S5" s="608"/>
      <c r="T5" s="495"/>
      <c r="U5" s="495"/>
      <c r="V5" s="495"/>
      <c r="W5" s="495"/>
      <c r="X5" s="495"/>
      <c r="Y5" s="652"/>
      <c r="Z5" s="652"/>
      <c r="AA5" s="915"/>
      <c r="AB5" s="614"/>
      <c r="AC5" s="495"/>
      <c r="AD5" s="495"/>
      <c r="AE5" s="495"/>
      <c r="AF5" s="495"/>
      <c r="AG5" s="495"/>
      <c r="AH5" s="495"/>
      <c r="AI5" s="921"/>
      <c r="AJ5" s="608"/>
      <c r="AK5" s="495"/>
      <c r="AL5" s="495"/>
      <c r="AM5" s="638"/>
      <c r="AN5" s="940"/>
      <c r="AO5" s="495"/>
      <c r="AP5" s="950"/>
    </row>
    <row r="6" spans="1:42" ht="33" customHeight="1" x14ac:dyDescent="0.25">
      <c r="A6" s="561" t="s">
        <v>52</v>
      </c>
      <c r="B6" s="598"/>
      <c r="C6" s="611">
        <v>3</v>
      </c>
      <c r="D6" s="611">
        <v>5</v>
      </c>
      <c r="E6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6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6" s="599">
        <f>SUM(Таблица_оружие[[#This Row],[урон макс.]]+Таблица_оружие[[#This Row],[урон мин.]])/2</f>
        <v>4</v>
      </c>
      <c r="H6" s="128">
        <f>SUM(Таблица_оружие[[#This Row],[урон макс.]]-Таблица_оружие[[#This Row],[урон мин.]])</f>
        <v>2</v>
      </c>
      <c r="I6" s="645">
        <f>12</f>
        <v>12</v>
      </c>
      <c r="J6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6" s="600">
        <f>Таблица_оружие[[#This Row],[урон макс.]]*Таблица_оружие[[#This Row],[крит множ]]</f>
        <v>7.5</v>
      </c>
      <c r="L6" s="615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6" s="566">
        <v>70</v>
      </c>
      <c r="N6" s="360">
        <v>85</v>
      </c>
      <c r="O6" s="360">
        <v>0</v>
      </c>
      <c r="P6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6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6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6" s="566">
        <v>0</v>
      </c>
      <c r="T6" s="360">
        <v>0</v>
      </c>
      <c r="U6" s="360">
        <v>0</v>
      </c>
      <c r="V6" s="360">
        <v>6</v>
      </c>
      <c r="W6" s="360">
        <v>7</v>
      </c>
      <c r="X6" s="360">
        <v>0</v>
      </c>
      <c r="Y6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6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6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6" s="617">
        <v>1</v>
      </c>
      <c r="AC6" s="618">
        <f>(Примерочная!$U$7*VLOOKUP(Таблица_оружие[[#This Row],[название]],Таблица_моды_оружие[],11,0))</f>
        <v>0</v>
      </c>
      <c r="AD6" s="360"/>
      <c r="AE6" s="561"/>
      <c r="AF6" s="360"/>
      <c r="AG6" s="559"/>
      <c r="AH6" s="605">
        <v>1.5</v>
      </c>
      <c r="AI6" s="922">
        <f>Таблица_оружие[[#This Row],[крит множ]]+(Таблица_оружие[[#This Row],[крит множ]]*(Примерочная!$S$7*VLOOKUP(Примерочная!$V$2,Таблица_моды_оружие[],6,0)))</f>
        <v>1.5</v>
      </c>
      <c r="AJ6" s="930">
        <f>30%</f>
        <v>0.3</v>
      </c>
      <c r="AK6" s="560">
        <v>35</v>
      </c>
      <c r="AL6" s="560">
        <v>35</v>
      </c>
      <c r="AM6" s="739">
        <v>0</v>
      </c>
      <c r="AN6" s="967">
        <f>Таблица_оружие[[#This Row],[FH]]*(1+Примерочная!$U$7*VLOOKUP(Примерочная!$V$2,Таблица_моды_оружие[],11,0))-Таблица_оружие[[#This Row],[FH]]</f>
        <v>0</v>
      </c>
      <c r="AO6" s="968">
        <f>Таблица_оружие[[#This Row],[CH]]*(1+Примерочная!$U$7*VLOOKUP(Примерочная!$V$2,Таблица_моды_оружие[],11,0))-Таблица_оружие[[#This Row],[CH]]</f>
        <v>0</v>
      </c>
      <c r="AP6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7" spans="1:42" ht="33" customHeight="1" x14ac:dyDescent="0.25">
      <c r="A7" s="561" t="s">
        <v>54</v>
      </c>
      <c r="B7" s="598"/>
      <c r="C7" s="611">
        <v>5</v>
      </c>
      <c r="D7" s="611">
        <v>7</v>
      </c>
      <c r="E7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7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7" s="599">
        <f>SUM(Таблица_оружие[[#This Row],[урон макс.]]+Таблица_оружие[[#This Row],[урон мин.]])/2</f>
        <v>6</v>
      </c>
      <c r="H7" s="128">
        <f>SUM(Таблица_оружие[[#This Row],[урон макс.]]-Таблица_оружие[[#This Row],[урон мин.]])</f>
        <v>2</v>
      </c>
      <c r="I7" s="645">
        <f>12</f>
        <v>12</v>
      </c>
      <c r="J7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7" s="600">
        <f>Таблица_оружие[[#This Row],[урон макс.]]*Таблица_оружие[[#This Row],[крит множ]]</f>
        <v>10.5</v>
      </c>
      <c r="L7" s="615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7" s="566">
        <v>70</v>
      </c>
      <c r="N7" s="360">
        <v>85</v>
      </c>
      <c r="O7" s="360">
        <v>0</v>
      </c>
      <c r="P7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7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7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7" s="566">
        <v>0</v>
      </c>
      <c r="T7" s="360">
        <v>0</v>
      </c>
      <c r="U7" s="360">
        <v>0</v>
      </c>
      <c r="V7" s="360">
        <v>6</v>
      </c>
      <c r="W7" s="360">
        <v>7</v>
      </c>
      <c r="X7" s="360">
        <v>0</v>
      </c>
      <c r="Y7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7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7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7" s="617">
        <v>2</v>
      </c>
      <c r="AC7" s="618">
        <f>(Примерочная!$U$7*VLOOKUP(Таблица_оружие[[#This Row],[название]],Таблица_моды_оружие[],11,0))</f>
        <v>0</v>
      </c>
      <c r="AD7" s="360"/>
      <c r="AE7" s="561"/>
      <c r="AF7" s="360"/>
      <c r="AG7" s="559"/>
      <c r="AH7" s="605">
        <v>1.5</v>
      </c>
      <c r="AI7" s="922">
        <f>Таблица_оружие[[#This Row],[крит множ]]+(Таблица_оружие[[#This Row],[крит множ]]*(Примерочная!$S$7*VLOOKUP(Примерочная!$V$2,Таблица_моды_оружие[],6,0)))</f>
        <v>1.5</v>
      </c>
      <c r="AJ7" s="931">
        <v>0.3</v>
      </c>
      <c r="AK7" s="360">
        <v>35</v>
      </c>
      <c r="AL7" s="360">
        <v>35</v>
      </c>
      <c r="AM7" s="559">
        <v>0</v>
      </c>
      <c r="AN7" s="967">
        <f>Таблица_оружие[[#This Row],[FH]]*(1+Примерочная!$U$7*VLOOKUP(Примерочная!$V$2,Таблица_моды_оружие[],11,0))-Таблица_оружие[[#This Row],[FH]]</f>
        <v>0</v>
      </c>
      <c r="AO7" s="968">
        <f>Таблица_оружие[[#This Row],[CH]]*(1+Примерочная!$U$7*VLOOKUP(Примерочная!$V$2,Таблица_моды_оружие[],11,0))-Таблица_оружие[[#This Row],[CH]]</f>
        <v>0</v>
      </c>
      <c r="AP7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8" spans="1:42" ht="33" customHeight="1" x14ac:dyDescent="0.25">
      <c r="A8" s="561" t="s">
        <v>88</v>
      </c>
      <c r="B8" s="598"/>
      <c r="C8" s="611">
        <v>6</v>
      </c>
      <c r="D8" s="611">
        <v>8</v>
      </c>
      <c r="E8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8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8" s="599">
        <f>SUM(Таблица_оружие[[#This Row],[урон макс.]]+Таблица_оружие[[#This Row],[урон мин.]])/2</f>
        <v>7</v>
      </c>
      <c r="H8" s="128">
        <f>SUM(Таблица_оружие[[#This Row],[урон макс.]]-Таблица_оружие[[#This Row],[урон мин.]])</f>
        <v>2</v>
      </c>
      <c r="I8" s="645">
        <f>12</f>
        <v>12</v>
      </c>
      <c r="J8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8" s="600">
        <f>Таблица_оружие[[#This Row],[урон макс.]]*Таблица_оружие[[#This Row],[крит множ]]</f>
        <v>12</v>
      </c>
      <c r="L8" s="615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8" s="566">
        <v>70</v>
      </c>
      <c r="N8" s="360">
        <v>85</v>
      </c>
      <c r="O8" s="360">
        <v>0</v>
      </c>
      <c r="P8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8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8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8" s="566">
        <v>0</v>
      </c>
      <c r="T8" s="360">
        <v>0</v>
      </c>
      <c r="U8" s="360">
        <v>0</v>
      </c>
      <c r="V8" s="360">
        <v>6</v>
      </c>
      <c r="W8" s="360">
        <v>7</v>
      </c>
      <c r="X8" s="360">
        <v>0</v>
      </c>
      <c r="Y8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8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8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8" s="617">
        <v>3</v>
      </c>
      <c r="AC8" s="618">
        <f>(Примерочная!$U$7*VLOOKUP(Таблица_оружие[[#This Row],[название]],Таблица_моды_оружие[],11,0))</f>
        <v>0</v>
      </c>
      <c r="AD8" s="360"/>
      <c r="AE8" s="561"/>
      <c r="AF8" s="360"/>
      <c r="AG8" s="559"/>
      <c r="AH8" s="605">
        <v>1.5</v>
      </c>
      <c r="AI8" s="922">
        <f>Таблица_оружие[[#This Row],[крит множ]]+(Таблица_оружие[[#This Row],[крит множ]]*(Примерочная!$S$7*VLOOKUP(Примерочная!$V$2,Таблица_моды_оружие[],6,0)))</f>
        <v>1.5</v>
      </c>
      <c r="AJ8" s="930">
        <v>0.3</v>
      </c>
      <c r="AK8" s="560">
        <v>35</v>
      </c>
      <c r="AL8" s="560">
        <v>35</v>
      </c>
      <c r="AM8" s="739">
        <v>0</v>
      </c>
      <c r="AN8" s="967">
        <f>Таблица_оружие[[#This Row],[FH]]*(1+Примерочная!$U$7*VLOOKUP(Примерочная!$V$2,Таблица_моды_оружие[],11,0))-Таблица_оружие[[#This Row],[FH]]</f>
        <v>0</v>
      </c>
      <c r="AO8" s="968">
        <f>Таблица_оружие[[#This Row],[CH]]*(1+Примерочная!$U$7*VLOOKUP(Примерочная!$V$2,Таблица_моды_оружие[],11,0))-Таблица_оружие[[#This Row],[CH]]</f>
        <v>0</v>
      </c>
      <c r="AP8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9" spans="1:42" ht="33" customHeight="1" x14ac:dyDescent="0.25">
      <c r="A9" s="561" t="s">
        <v>606</v>
      </c>
      <c r="B9" s="598"/>
      <c r="C9" s="611">
        <v>7</v>
      </c>
      <c r="D9" s="611">
        <v>11</v>
      </c>
      <c r="E9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9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9" s="599">
        <f>SUM(Таблица_оружие[[#This Row],[урон макс.]]+Таблица_оружие[[#This Row],[урон мин.]])/2</f>
        <v>9</v>
      </c>
      <c r="H9" s="128">
        <f>SUM(Таблица_оружие[[#This Row],[урон макс.]]-Таблица_оружие[[#This Row],[урон мин.]])</f>
        <v>4</v>
      </c>
      <c r="I9" s="645">
        <f>12</f>
        <v>12</v>
      </c>
      <c r="J9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9" s="600">
        <f>Таблица_оружие[[#This Row],[урон макс.]]*Таблица_оружие[[#This Row],[крит множ]]</f>
        <v>16.5</v>
      </c>
      <c r="L9" s="615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9" s="566">
        <v>70</v>
      </c>
      <c r="N9" s="360">
        <v>85</v>
      </c>
      <c r="O9" s="360">
        <v>0</v>
      </c>
      <c r="P9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9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9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9" s="566">
        <v>0</v>
      </c>
      <c r="T9" s="360">
        <v>0</v>
      </c>
      <c r="U9" s="360">
        <v>0</v>
      </c>
      <c r="V9" s="360">
        <v>6</v>
      </c>
      <c r="W9" s="360">
        <v>7</v>
      </c>
      <c r="X9" s="360">
        <v>0</v>
      </c>
      <c r="Y9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9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9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9" s="617">
        <v>7</v>
      </c>
      <c r="AC9" s="618">
        <f>(Примерочная!$U$7*VLOOKUP(Таблица_оружие[[#This Row],[название]],Таблица_моды_оружие[],11,0))</f>
        <v>0</v>
      </c>
      <c r="AD9" s="360"/>
      <c r="AE9" s="561"/>
      <c r="AF9" s="360"/>
      <c r="AG9" s="559"/>
      <c r="AH9" s="605">
        <v>1.5</v>
      </c>
      <c r="AI9" s="922">
        <f>Таблица_оружие[[#This Row],[крит множ]]+(Таблица_оружие[[#This Row],[крит множ]]*(Примерочная!$S$7*VLOOKUP(Примерочная!$V$2,Таблица_моды_оружие[],6,0)))</f>
        <v>1.5</v>
      </c>
      <c r="AJ9" s="931">
        <v>0.3</v>
      </c>
      <c r="AK9" s="360">
        <v>35</v>
      </c>
      <c r="AL9" s="360">
        <v>35</v>
      </c>
      <c r="AM9" s="559">
        <v>0</v>
      </c>
      <c r="AN9" s="967">
        <f>Таблица_оружие[[#This Row],[FH]]*(1+Примерочная!$U$7*VLOOKUP(Примерочная!$V$2,Таблица_моды_оружие[],11,0))-Таблица_оружие[[#This Row],[FH]]</f>
        <v>0</v>
      </c>
      <c r="AO9" s="968">
        <f>Таблица_оружие[[#This Row],[CH]]*(1+Примерочная!$U$7*VLOOKUP(Примерочная!$V$2,Таблица_моды_оружие[],11,0))-Таблица_оружие[[#This Row],[CH]]</f>
        <v>0</v>
      </c>
      <c r="AP9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0" spans="1:42" ht="33" customHeight="1" x14ac:dyDescent="0.25">
      <c r="A10" s="561" t="s">
        <v>55</v>
      </c>
      <c r="B10" s="598"/>
      <c r="C10" s="611">
        <v>9</v>
      </c>
      <c r="D10" s="611">
        <v>12</v>
      </c>
      <c r="E10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0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0" s="599">
        <f>SUM(Таблица_оружие[[#This Row],[урон макс.]]+Таблица_оружие[[#This Row],[урон мин.]])/2</f>
        <v>10.5</v>
      </c>
      <c r="H10" s="128">
        <f>SUM(Таблица_оружие[[#This Row],[урон макс.]]-Таблица_оружие[[#This Row],[урон мин.]])</f>
        <v>3</v>
      </c>
      <c r="I10" s="645">
        <f>12</f>
        <v>12</v>
      </c>
      <c r="J10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0" s="600">
        <f>Таблица_оружие[[#This Row],[урон макс.]]*Таблица_оружие[[#This Row],[крит множ]]</f>
        <v>18</v>
      </c>
      <c r="L10" s="615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0" s="566">
        <v>70</v>
      </c>
      <c r="N10" s="360">
        <v>85</v>
      </c>
      <c r="O10" s="360">
        <v>0</v>
      </c>
      <c r="P10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0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0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0" s="566">
        <v>0</v>
      </c>
      <c r="T10" s="360">
        <v>0</v>
      </c>
      <c r="U10" s="360">
        <v>0</v>
      </c>
      <c r="V10" s="360">
        <v>6</v>
      </c>
      <c r="W10" s="360">
        <v>7</v>
      </c>
      <c r="X10" s="360">
        <v>0</v>
      </c>
      <c r="Y10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0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0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0" s="617">
        <v>9</v>
      </c>
      <c r="AC10" s="618">
        <f>(Примерочная!$U$7*VLOOKUP(Таблица_оружие[[#This Row],[название]],Таблица_моды_оружие[],11,0))</f>
        <v>0</v>
      </c>
      <c r="AD10" s="360"/>
      <c r="AE10" s="561"/>
      <c r="AF10" s="360"/>
      <c r="AG10" s="559"/>
      <c r="AH10" s="605">
        <v>1.5</v>
      </c>
      <c r="AI10" s="922">
        <f>Таблица_оружие[[#This Row],[крит множ]]+(Таблица_оружие[[#This Row],[крит множ]]*(Примерочная!$S$7*VLOOKUP(Примерочная!$V$2,Таблица_моды_оружие[],6,0)))</f>
        <v>1.5</v>
      </c>
      <c r="AJ10" s="930">
        <v>0.3</v>
      </c>
      <c r="AK10" s="560">
        <v>35</v>
      </c>
      <c r="AL10" s="560">
        <v>35</v>
      </c>
      <c r="AM10" s="739">
        <v>0</v>
      </c>
      <c r="AN10" s="967">
        <f>Таблица_оружие[[#This Row],[FH]]*(1+Примерочная!$U$7*VLOOKUP(Примерочная!$V$2,Таблица_моды_оружие[],11,0))-Таблица_оружие[[#This Row],[FH]]</f>
        <v>0</v>
      </c>
      <c r="AO10" s="968">
        <f>Таблица_оружие[[#This Row],[CH]]*(1+Примерочная!$U$7*VLOOKUP(Примерочная!$V$2,Таблица_моды_оружие[],11,0))-Таблица_оружие[[#This Row],[CH]]</f>
        <v>0</v>
      </c>
      <c r="AP10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1" spans="1:42" ht="33" customHeight="1" x14ac:dyDescent="0.25">
      <c r="A11" s="561" t="s">
        <v>607</v>
      </c>
      <c r="B11" s="598"/>
      <c r="C11" s="611">
        <v>10</v>
      </c>
      <c r="D11" s="611">
        <v>14</v>
      </c>
      <c r="E11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1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1" s="599">
        <f>SUM(Таблица_оружие[[#This Row],[урон макс.]]+Таблица_оружие[[#This Row],[урон мин.]])/2</f>
        <v>12</v>
      </c>
      <c r="H11" s="128">
        <f>SUM(Таблица_оружие[[#This Row],[урон макс.]]-Таблица_оружие[[#This Row],[урон мин.]])</f>
        <v>4</v>
      </c>
      <c r="I11" s="645">
        <f>12</f>
        <v>12</v>
      </c>
      <c r="J11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1" s="600">
        <f>Таблица_оружие[[#This Row],[урон макс.]]*Таблица_оружие[[#This Row],[крит множ]]</f>
        <v>21</v>
      </c>
      <c r="L11" s="615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1" s="566">
        <v>70</v>
      </c>
      <c r="N11" s="360">
        <v>85</v>
      </c>
      <c r="O11" s="360">
        <v>0</v>
      </c>
      <c r="P11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1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1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1" s="566">
        <v>0</v>
      </c>
      <c r="T11" s="360">
        <v>0</v>
      </c>
      <c r="U11" s="360">
        <v>0</v>
      </c>
      <c r="V11" s="360">
        <v>6</v>
      </c>
      <c r="W11" s="360">
        <v>7</v>
      </c>
      <c r="X11" s="360">
        <v>0</v>
      </c>
      <c r="Y11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1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1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1" s="617">
        <v>9</v>
      </c>
      <c r="AC11" s="618">
        <f>(Примерочная!$U$7*VLOOKUP(Таблица_оружие[[#This Row],[название]],Таблица_моды_оружие[],11,0))</f>
        <v>0</v>
      </c>
      <c r="AD11" s="360"/>
      <c r="AE11" s="561"/>
      <c r="AF11" s="360"/>
      <c r="AG11" s="559"/>
      <c r="AH11" s="605">
        <v>1.5</v>
      </c>
      <c r="AI11" s="922">
        <f>Таблица_оружие[[#This Row],[крит множ]]+(Таблица_оружие[[#This Row],[крит множ]]*(Примерочная!$S$7*VLOOKUP(Примерочная!$V$2,Таблица_моды_оружие[],6,0)))</f>
        <v>1.5</v>
      </c>
      <c r="AJ11" s="931">
        <v>0.3</v>
      </c>
      <c r="AK11" s="360">
        <v>35</v>
      </c>
      <c r="AL11" s="360">
        <v>35</v>
      </c>
      <c r="AM11" s="559">
        <v>0</v>
      </c>
      <c r="AN11" s="967">
        <f>Таблица_оружие[[#This Row],[FH]]*(1+Примерочная!$U$7*VLOOKUP(Примерочная!$V$2,Таблица_моды_оружие[],11,0))-Таблица_оружие[[#This Row],[FH]]</f>
        <v>0</v>
      </c>
      <c r="AO11" s="968">
        <f>Таблица_оружие[[#This Row],[CH]]*(1+Примерочная!$U$7*VLOOKUP(Примерочная!$V$2,Таблица_моды_оружие[],11,0))-Таблица_оружие[[#This Row],[CH]]</f>
        <v>0</v>
      </c>
      <c r="AP11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2" spans="1:42" ht="33" customHeight="1" x14ac:dyDescent="0.25">
      <c r="A12" s="561" t="s">
        <v>57</v>
      </c>
      <c r="B12" s="598"/>
      <c r="C12" s="611">
        <v>12</v>
      </c>
      <c r="D12" s="611">
        <v>17</v>
      </c>
      <c r="E12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2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2" s="599">
        <f>SUM(Таблица_оружие[[#This Row],[урон макс.]]+Таблица_оружие[[#This Row],[урон мин.]])/2</f>
        <v>14.5</v>
      </c>
      <c r="H12" s="128">
        <f>SUM(Таблица_оружие[[#This Row],[урон макс.]]-Таблица_оружие[[#This Row],[урон мин.]])</f>
        <v>5</v>
      </c>
      <c r="I12" s="645">
        <f>12</f>
        <v>12</v>
      </c>
      <c r="J12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2" s="600">
        <f>Таблица_оружие[[#This Row],[урон макс.]]*Таблица_оружие[[#This Row],[крит множ]]</f>
        <v>25.5</v>
      </c>
      <c r="L12" s="615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2" s="566">
        <v>70</v>
      </c>
      <c r="N12" s="360">
        <v>85</v>
      </c>
      <c r="O12" s="360">
        <v>0</v>
      </c>
      <c r="P12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2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2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2" s="566">
        <v>0</v>
      </c>
      <c r="T12" s="360">
        <v>0</v>
      </c>
      <c r="U12" s="360">
        <v>0</v>
      </c>
      <c r="V12" s="360">
        <v>6</v>
      </c>
      <c r="W12" s="360">
        <v>7</v>
      </c>
      <c r="X12" s="360">
        <v>0</v>
      </c>
      <c r="Y12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2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2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2" s="617">
        <v>11</v>
      </c>
      <c r="AC12" s="618">
        <f>(Примерочная!$U$7*VLOOKUP(Таблица_оружие[[#This Row],[название]],Таблица_моды_оружие[],11,0))</f>
        <v>0</v>
      </c>
      <c r="AD12" s="360"/>
      <c r="AE12" s="561"/>
      <c r="AF12" s="360"/>
      <c r="AG12" s="559"/>
      <c r="AH12" s="605">
        <v>1.5</v>
      </c>
      <c r="AI12" s="922">
        <f>Таблица_оружие[[#This Row],[крит множ]]+(Таблица_оружие[[#This Row],[крит множ]]*(Примерочная!$S$7*VLOOKUP(Примерочная!$V$2,Таблица_моды_оружие[],6,0)))</f>
        <v>1.5</v>
      </c>
      <c r="AJ12" s="931">
        <v>0.3</v>
      </c>
      <c r="AK12" s="360">
        <v>35</v>
      </c>
      <c r="AL12" s="360">
        <v>35</v>
      </c>
      <c r="AM12" s="559">
        <v>0</v>
      </c>
      <c r="AN12" s="967">
        <f>Таблица_оружие[[#This Row],[FH]]*(1+Примерочная!$U$7*VLOOKUP(Примерочная!$V$2,Таблица_моды_оружие[],11,0))-Таблица_оружие[[#This Row],[FH]]</f>
        <v>0</v>
      </c>
      <c r="AO12" s="968">
        <f>Таблица_оружие[[#This Row],[CH]]*(1+Примерочная!$U$7*VLOOKUP(Примерочная!$V$2,Таблица_моды_оружие[],11,0))-Таблица_оружие[[#This Row],[CH]]</f>
        <v>0</v>
      </c>
      <c r="AP12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3" spans="1:42" ht="33" customHeight="1" x14ac:dyDescent="0.25">
      <c r="A13" s="561" t="s">
        <v>56</v>
      </c>
      <c r="B13" s="598"/>
      <c r="C13" s="611">
        <v>13</v>
      </c>
      <c r="D13" s="611">
        <v>19</v>
      </c>
      <c r="E13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3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3" s="599">
        <f>SUM(Таблица_оружие[[#This Row],[урон макс.]]+Таблица_оружие[[#This Row],[урон мин.]])/2</f>
        <v>16</v>
      </c>
      <c r="H13" s="128">
        <f>SUM(Таблица_оружие[[#This Row],[урон макс.]]-Таблица_оружие[[#This Row],[урон мин.]])</f>
        <v>6</v>
      </c>
      <c r="I13" s="645">
        <f>12</f>
        <v>12</v>
      </c>
      <c r="J13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3" s="600">
        <f>Таблица_оружие[[#This Row],[урон макс.]]*Таблица_оружие[[#This Row],[крит множ]]</f>
        <v>28.5</v>
      </c>
      <c r="L13" s="615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3" s="566">
        <v>70</v>
      </c>
      <c r="N13" s="360">
        <v>85</v>
      </c>
      <c r="O13" s="360">
        <v>0</v>
      </c>
      <c r="P13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3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3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3" s="566">
        <v>0</v>
      </c>
      <c r="T13" s="360">
        <v>0</v>
      </c>
      <c r="U13" s="360">
        <v>0</v>
      </c>
      <c r="V13" s="360">
        <v>6</v>
      </c>
      <c r="W13" s="360">
        <v>7</v>
      </c>
      <c r="X13" s="360">
        <v>0</v>
      </c>
      <c r="Y13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3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3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3" s="617">
        <v>13</v>
      </c>
      <c r="AC13" s="618">
        <f>(Примерочная!$U$7*VLOOKUP(Таблица_оружие[[#This Row],[название]],Таблица_моды_оружие[],11,0))</f>
        <v>0</v>
      </c>
      <c r="AD13" s="360"/>
      <c r="AE13" s="561"/>
      <c r="AF13" s="360"/>
      <c r="AG13" s="559"/>
      <c r="AH13" s="605">
        <v>1.5</v>
      </c>
      <c r="AI13" s="922">
        <f>Таблица_оружие[[#This Row],[крит множ]]+(Таблица_оружие[[#This Row],[крит множ]]*(Примерочная!$S$7*VLOOKUP(Примерочная!$V$2,Таблица_моды_оружие[],6,0)))</f>
        <v>1.5</v>
      </c>
      <c r="AJ13" s="930">
        <v>0.3</v>
      </c>
      <c r="AK13" s="560">
        <v>35</v>
      </c>
      <c r="AL13" s="560">
        <v>35</v>
      </c>
      <c r="AM13" s="739">
        <v>0</v>
      </c>
      <c r="AN13" s="967">
        <f>Таблица_оружие[[#This Row],[FH]]*(1+Примерочная!$U$7*VLOOKUP(Примерочная!$V$2,Таблица_моды_оружие[],11,0))-Таблица_оружие[[#This Row],[FH]]</f>
        <v>0</v>
      </c>
      <c r="AO13" s="968">
        <f>Таблица_оружие[[#This Row],[CH]]*(1+Примерочная!$U$7*VLOOKUP(Примерочная!$V$2,Таблица_моды_оружие[],11,0))-Таблица_оружие[[#This Row],[CH]]</f>
        <v>0</v>
      </c>
      <c r="AP13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4" spans="1:42" ht="33" customHeight="1" x14ac:dyDescent="0.25">
      <c r="A14" s="561" t="s">
        <v>58</v>
      </c>
      <c r="B14" s="598"/>
      <c r="C14" s="611">
        <v>17</v>
      </c>
      <c r="D14" s="611">
        <v>20</v>
      </c>
      <c r="E14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4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4" s="599">
        <f>SUM(Таблица_оружие[[#This Row],[урон макс.]]+Таблица_оружие[[#This Row],[урон мин.]])/2</f>
        <v>18.5</v>
      </c>
      <c r="H14" s="128">
        <f>SUM(Таблица_оружие[[#This Row],[урон макс.]]-Таблица_оружие[[#This Row],[урон мин.]])</f>
        <v>3</v>
      </c>
      <c r="I14" s="645">
        <f>12</f>
        <v>12</v>
      </c>
      <c r="J14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4" s="600">
        <f>Таблица_оружие[[#This Row],[урон макс.]]*Таблица_оружие[[#This Row],[крит множ]]</f>
        <v>30</v>
      </c>
      <c r="L14" s="615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4" s="566">
        <v>70</v>
      </c>
      <c r="N14" s="360">
        <v>85</v>
      </c>
      <c r="O14" s="360">
        <v>0</v>
      </c>
      <c r="P14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4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4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4" s="566">
        <v>0</v>
      </c>
      <c r="T14" s="360">
        <v>0</v>
      </c>
      <c r="U14" s="360">
        <v>0</v>
      </c>
      <c r="V14" s="360">
        <v>6</v>
      </c>
      <c r="W14" s="360">
        <v>7</v>
      </c>
      <c r="X14" s="360">
        <v>0</v>
      </c>
      <c r="Y14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4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4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4" s="617">
        <v>15</v>
      </c>
      <c r="AC14" s="618">
        <f>(Примерочная!$U$7*VLOOKUP(Таблица_оружие[[#This Row],[название]],Таблица_моды_оружие[],11,0))</f>
        <v>0</v>
      </c>
      <c r="AD14" s="360"/>
      <c r="AE14" s="561"/>
      <c r="AF14" s="360"/>
      <c r="AG14" s="559"/>
      <c r="AH14" s="605">
        <v>1.5</v>
      </c>
      <c r="AI14" s="922">
        <f>Таблица_оружие[[#This Row],[крит множ]]+(Таблица_оружие[[#This Row],[крит множ]]*(Примерочная!$S$7*VLOOKUP(Примерочная!$V$2,Таблица_моды_оружие[],6,0)))</f>
        <v>1.5</v>
      </c>
      <c r="AJ14" s="931">
        <v>0.3</v>
      </c>
      <c r="AK14" s="360">
        <v>35</v>
      </c>
      <c r="AL14" s="360">
        <v>35</v>
      </c>
      <c r="AM14" s="559">
        <v>0</v>
      </c>
      <c r="AN14" s="967">
        <f>Таблица_оружие[[#This Row],[FH]]*(1+Примерочная!$U$7*VLOOKUP(Примерочная!$V$2,Таблица_моды_оружие[],11,0))-Таблица_оружие[[#This Row],[FH]]</f>
        <v>0</v>
      </c>
      <c r="AO14" s="968">
        <f>Таблица_оружие[[#This Row],[CH]]*(1+Примерочная!$U$7*VLOOKUP(Примерочная!$V$2,Таблица_моды_оружие[],11,0))-Таблица_оружие[[#This Row],[CH]]</f>
        <v>0</v>
      </c>
      <c r="AP14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5" spans="1:42" ht="33" customHeight="1" x14ac:dyDescent="0.25">
      <c r="A15" s="561" t="s">
        <v>59</v>
      </c>
      <c r="B15" s="598"/>
      <c r="C15" s="611">
        <v>19</v>
      </c>
      <c r="D15" s="611">
        <v>23</v>
      </c>
      <c r="E15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5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5" s="599">
        <f>SUM(Таблица_оружие[[#This Row],[урон макс.]]+Таблица_оружие[[#This Row],[урон мин.]])/2</f>
        <v>21</v>
      </c>
      <c r="H15" s="128">
        <f>SUM(Таблица_оружие[[#This Row],[урон макс.]]-Таблица_оружие[[#This Row],[урон мин.]])</f>
        <v>4</v>
      </c>
      <c r="I15" s="645">
        <f>12</f>
        <v>12</v>
      </c>
      <c r="J15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5" s="600">
        <f>Таблица_оружие[[#This Row],[урон макс.]]*Таблица_оружие[[#This Row],[крит множ]]</f>
        <v>34.5</v>
      </c>
      <c r="L15" s="615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5" s="566">
        <v>70</v>
      </c>
      <c r="N15" s="360">
        <v>85</v>
      </c>
      <c r="O15" s="360">
        <v>0</v>
      </c>
      <c r="P15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5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5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5" s="566">
        <v>0</v>
      </c>
      <c r="T15" s="360">
        <v>0</v>
      </c>
      <c r="U15" s="360">
        <v>0</v>
      </c>
      <c r="V15" s="360">
        <v>6</v>
      </c>
      <c r="W15" s="360">
        <v>7</v>
      </c>
      <c r="X15" s="360">
        <v>0</v>
      </c>
      <c r="Y15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5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5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5" s="617">
        <v>17</v>
      </c>
      <c r="AC15" s="618">
        <f>(Примерочная!$U$7*VLOOKUP(Таблица_оружие[[#This Row],[название]],Таблица_моды_оружие[],11,0))</f>
        <v>0</v>
      </c>
      <c r="AD15" s="360"/>
      <c r="AE15" s="561"/>
      <c r="AF15" s="360"/>
      <c r="AG15" s="559"/>
      <c r="AH15" s="605">
        <v>1.5</v>
      </c>
      <c r="AI15" s="922">
        <f>Таблица_оружие[[#This Row],[крит множ]]+(Таблица_оружие[[#This Row],[крит множ]]*(Примерочная!$S$7*VLOOKUP(Примерочная!$V$2,Таблица_моды_оружие[],6,0)))</f>
        <v>1.5</v>
      </c>
      <c r="AJ15" s="930">
        <v>0.3</v>
      </c>
      <c r="AK15" s="560">
        <v>35</v>
      </c>
      <c r="AL15" s="560">
        <v>35</v>
      </c>
      <c r="AM15" s="739">
        <v>0</v>
      </c>
      <c r="AN15" s="967">
        <f>Таблица_оружие[[#This Row],[FH]]*(1+Примерочная!$U$7*VLOOKUP(Примерочная!$V$2,Таблица_моды_оружие[],11,0))-Таблица_оружие[[#This Row],[FH]]</f>
        <v>0</v>
      </c>
      <c r="AO15" s="968">
        <f>Таблица_оружие[[#This Row],[CH]]*(1+Примерочная!$U$7*VLOOKUP(Примерочная!$V$2,Таблица_моды_оружие[],11,0))-Таблица_оружие[[#This Row],[CH]]</f>
        <v>0</v>
      </c>
      <c r="AP15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6" spans="1:42" ht="33" customHeight="1" x14ac:dyDescent="0.25">
      <c r="A16" s="561" t="s">
        <v>60</v>
      </c>
      <c r="B16" s="598"/>
      <c r="C16" s="611">
        <v>23</v>
      </c>
      <c r="D16" s="611">
        <v>27</v>
      </c>
      <c r="E16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6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6" s="599">
        <f>SUM(Таблица_оружие[[#This Row],[урон макс.]]+Таблица_оружие[[#This Row],[урон мин.]])/2</f>
        <v>25</v>
      </c>
      <c r="H16" s="128">
        <f>SUM(Таблица_оружие[[#This Row],[урон макс.]]-Таблица_оружие[[#This Row],[урон мин.]])</f>
        <v>4</v>
      </c>
      <c r="I16" s="645">
        <f>12</f>
        <v>12</v>
      </c>
      <c r="J16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6" s="600">
        <f>Таблица_оружие[[#This Row],[урон макс.]]*Таблица_оружие[[#This Row],[крит множ]]</f>
        <v>40.5</v>
      </c>
      <c r="L16" s="615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6" s="566">
        <v>70</v>
      </c>
      <c r="N16" s="360">
        <v>85</v>
      </c>
      <c r="O16" s="360">
        <v>0</v>
      </c>
      <c r="P16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6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6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6" s="566">
        <v>0</v>
      </c>
      <c r="T16" s="360">
        <v>0</v>
      </c>
      <c r="U16" s="360">
        <v>0</v>
      </c>
      <c r="V16" s="360">
        <v>6</v>
      </c>
      <c r="W16" s="360">
        <v>7</v>
      </c>
      <c r="X16" s="360">
        <v>0</v>
      </c>
      <c r="Y16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6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6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6" s="617">
        <v>19</v>
      </c>
      <c r="AC16" s="618">
        <f>(Примерочная!$U$7*VLOOKUP(Таблица_оружие[[#This Row],[название]],Таблица_моды_оружие[],11,0))</f>
        <v>0</v>
      </c>
      <c r="AD16" s="360"/>
      <c r="AE16" s="561"/>
      <c r="AF16" s="360"/>
      <c r="AG16" s="559"/>
      <c r="AH16" s="605">
        <v>1.5</v>
      </c>
      <c r="AI16" s="922">
        <f>Таблица_оружие[[#This Row],[крит множ]]+(Таблица_оружие[[#This Row],[крит множ]]*(Примерочная!$S$7*VLOOKUP(Примерочная!$V$2,Таблица_моды_оружие[],6,0)))</f>
        <v>1.5</v>
      </c>
      <c r="AJ16" s="931">
        <v>0.3</v>
      </c>
      <c r="AK16" s="360">
        <v>35</v>
      </c>
      <c r="AL16" s="360">
        <v>35</v>
      </c>
      <c r="AM16" s="559">
        <v>0</v>
      </c>
      <c r="AN16" s="967">
        <f>Таблица_оружие[[#This Row],[FH]]*(1+Примерочная!$U$7*VLOOKUP(Примерочная!$V$2,Таблица_моды_оружие[],11,0))-Таблица_оружие[[#This Row],[FH]]</f>
        <v>0</v>
      </c>
      <c r="AO16" s="968">
        <f>Таблица_оружие[[#This Row],[CH]]*(1+Примерочная!$U$7*VLOOKUP(Примерочная!$V$2,Таблица_моды_оружие[],11,0))-Таблица_оружие[[#This Row],[CH]]</f>
        <v>0</v>
      </c>
      <c r="AP16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7" spans="1:42" ht="33" customHeight="1" x14ac:dyDescent="0.25">
      <c r="A17" s="561" t="s">
        <v>61</v>
      </c>
      <c r="B17" s="598"/>
      <c r="C17" s="611">
        <v>27</v>
      </c>
      <c r="D17" s="611">
        <v>31</v>
      </c>
      <c r="E17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7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7" s="599">
        <f>SUM(Таблица_оружие[[#This Row],[урон макс.]]+Таблица_оружие[[#This Row],[урон мин.]])/2</f>
        <v>29</v>
      </c>
      <c r="H17" s="128">
        <f>SUM(Таблица_оружие[[#This Row],[урон макс.]]-Таблица_оружие[[#This Row],[урон мин.]])</f>
        <v>4</v>
      </c>
      <c r="I17" s="645">
        <f>12</f>
        <v>12</v>
      </c>
      <c r="J17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7" s="600">
        <f>Таблица_оружие[[#This Row],[урон макс.]]*Таблица_оружие[[#This Row],[крит множ]]</f>
        <v>46.5</v>
      </c>
      <c r="L17" s="615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7" s="566">
        <v>70</v>
      </c>
      <c r="N17" s="360">
        <v>85</v>
      </c>
      <c r="O17" s="360">
        <v>0</v>
      </c>
      <c r="P17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7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7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7" s="566">
        <v>0</v>
      </c>
      <c r="T17" s="360">
        <v>0</v>
      </c>
      <c r="U17" s="360">
        <v>0</v>
      </c>
      <c r="V17" s="360">
        <v>6</v>
      </c>
      <c r="W17" s="360">
        <v>7</v>
      </c>
      <c r="X17" s="360">
        <v>0</v>
      </c>
      <c r="Y17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7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7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7" s="617">
        <v>21</v>
      </c>
      <c r="AC17" s="618">
        <f>(Примерочная!$U$7*VLOOKUP(Таблица_оружие[[#This Row],[название]],Таблица_моды_оружие[],11,0))</f>
        <v>0</v>
      </c>
      <c r="AD17" s="360"/>
      <c r="AE17" s="561"/>
      <c r="AF17" s="360"/>
      <c r="AG17" s="559"/>
      <c r="AH17" s="605">
        <v>1.5</v>
      </c>
      <c r="AI17" s="922">
        <f>Таблица_оружие[[#This Row],[крит множ]]+(Таблица_оружие[[#This Row],[крит множ]]*(Примерочная!$S$7*VLOOKUP(Примерочная!$V$2,Таблица_моды_оружие[],6,0)))</f>
        <v>1.5</v>
      </c>
      <c r="AJ17" s="930">
        <v>0.3</v>
      </c>
      <c r="AK17" s="560">
        <v>35</v>
      </c>
      <c r="AL17" s="560">
        <v>35</v>
      </c>
      <c r="AM17" s="739">
        <v>0</v>
      </c>
      <c r="AN17" s="967">
        <f>Таблица_оружие[[#This Row],[FH]]*(1+Примерочная!$U$7*VLOOKUP(Примерочная!$V$2,Таблица_моды_оружие[],11,0))-Таблица_оружие[[#This Row],[FH]]</f>
        <v>0</v>
      </c>
      <c r="AO17" s="968">
        <f>Таблица_оружие[[#This Row],[CH]]*(1+Примерочная!$U$7*VLOOKUP(Примерочная!$V$2,Таблица_моды_оружие[],11,0))-Таблица_оружие[[#This Row],[CH]]</f>
        <v>0</v>
      </c>
      <c r="AP17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8" spans="1:42" s="678" customFormat="1" ht="33" customHeight="1" x14ac:dyDescent="0.2">
      <c r="A18" s="561" t="s">
        <v>64</v>
      </c>
      <c r="B18" s="598"/>
      <c r="C18" s="611">
        <v>30</v>
      </c>
      <c r="D18" s="611">
        <v>34</v>
      </c>
      <c r="E18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8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8" s="599">
        <f>SUM(Таблица_оружие[[#This Row],[урон макс.]]+Таблица_оружие[[#This Row],[урон мин.]])/2</f>
        <v>32</v>
      </c>
      <c r="H18" s="128">
        <f>SUM(Таблица_оружие[[#This Row],[урон макс.]]-Таблица_оружие[[#This Row],[урон мин.]])</f>
        <v>4</v>
      </c>
      <c r="I18" s="645">
        <f>12</f>
        <v>12</v>
      </c>
      <c r="J18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8" s="600">
        <f>Таблица_оружие[[#This Row],[урон макс.]]*Таблица_оружие[[#This Row],[крит множ]]</f>
        <v>51</v>
      </c>
      <c r="L18" s="615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8" s="566">
        <v>70</v>
      </c>
      <c r="N18" s="360">
        <v>85</v>
      </c>
      <c r="O18" s="360">
        <v>0</v>
      </c>
      <c r="P18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8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8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8" s="566">
        <v>0</v>
      </c>
      <c r="T18" s="360">
        <v>0</v>
      </c>
      <c r="U18" s="360">
        <v>0</v>
      </c>
      <c r="V18" s="360">
        <v>6</v>
      </c>
      <c r="W18" s="360">
        <v>7</v>
      </c>
      <c r="X18" s="360">
        <v>0</v>
      </c>
      <c r="Y18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8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8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8" s="617">
        <v>23</v>
      </c>
      <c r="AC18" s="618">
        <f>(Примерочная!$U$7*VLOOKUP(Таблица_оружие[[#This Row],[название]],Таблица_моды_оружие[],11,0))</f>
        <v>0</v>
      </c>
      <c r="AD18" s="360"/>
      <c r="AE18" s="561"/>
      <c r="AF18" s="360"/>
      <c r="AG18" s="559"/>
      <c r="AH18" s="605">
        <v>1.5</v>
      </c>
      <c r="AI18" s="922">
        <f>Таблица_оружие[[#This Row],[крит множ]]+(Таблица_оружие[[#This Row],[крит множ]]*(Примерочная!$S$7*VLOOKUP(Примерочная!$V$2,Таблица_моды_оружие[],6,0)))</f>
        <v>1.5</v>
      </c>
      <c r="AJ18" s="931">
        <v>0.3</v>
      </c>
      <c r="AK18" s="360">
        <v>35</v>
      </c>
      <c r="AL18" s="360">
        <v>35</v>
      </c>
      <c r="AM18" s="559">
        <v>0</v>
      </c>
      <c r="AN18" s="967">
        <f>Таблица_оружие[[#This Row],[FH]]*(1+Примерочная!$U$7*VLOOKUP(Примерочная!$V$2,Таблица_моды_оружие[],11,0))-Таблица_оружие[[#This Row],[FH]]</f>
        <v>0</v>
      </c>
      <c r="AO18" s="968">
        <f>Таблица_оружие[[#This Row],[CH]]*(1+Примерочная!$U$7*VLOOKUP(Примерочная!$V$2,Таблица_моды_оружие[],11,0))-Таблица_оружие[[#This Row],[CH]]</f>
        <v>0</v>
      </c>
      <c r="AP18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9" spans="1:42" ht="33" customHeight="1" x14ac:dyDescent="0.25">
      <c r="A19" s="561" t="s">
        <v>62</v>
      </c>
      <c r="B19" s="598"/>
      <c r="C19" s="611">
        <v>35</v>
      </c>
      <c r="D19" s="611">
        <v>39</v>
      </c>
      <c r="E19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9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9" s="599">
        <f>SUM(Таблица_оружие[[#This Row],[урон макс.]]+Таблица_оружие[[#This Row],[урон мин.]])/2</f>
        <v>37</v>
      </c>
      <c r="H19" s="128">
        <f>SUM(Таблица_оружие[[#This Row],[урон макс.]]-Таблица_оружие[[#This Row],[урон мин.]])</f>
        <v>4</v>
      </c>
      <c r="I19" s="645">
        <f>12</f>
        <v>12</v>
      </c>
      <c r="J19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9" s="600">
        <f>Таблица_оружие[[#This Row],[урон макс.]]*Таблица_оружие[[#This Row],[крит множ]]</f>
        <v>58.5</v>
      </c>
      <c r="L19" s="615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9" s="566">
        <v>70</v>
      </c>
      <c r="N19" s="360">
        <v>85</v>
      </c>
      <c r="O19" s="360">
        <v>0</v>
      </c>
      <c r="P19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9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9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9" s="566">
        <v>0</v>
      </c>
      <c r="T19" s="360">
        <v>0</v>
      </c>
      <c r="U19" s="360">
        <v>0</v>
      </c>
      <c r="V19" s="360">
        <v>6</v>
      </c>
      <c r="W19" s="360">
        <v>7</v>
      </c>
      <c r="X19" s="360">
        <v>0</v>
      </c>
      <c r="Y19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9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9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9" s="617">
        <v>25</v>
      </c>
      <c r="AC19" s="618">
        <f>(Примерочная!$U$7*VLOOKUP(Таблица_оружие[[#This Row],[название]],Таблица_моды_оружие[],11,0))</f>
        <v>0</v>
      </c>
      <c r="AD19" s="360"/>
      <c r="AE19" s="561"/>
      <c r="AF19" s="360"/>
      <c r="AG19" s="559"/>
      <c r="AH19" s="605">
        <v>1.5</v>
      </c>
      <c r="AI19" s="922">
        <f>Таблица_оружие[[#This Row],[крит множ]]+(Таблица_оружие[[#This Row],[крит множ]]*(Примерочная!$S$7*VLOOKUP(Примерочная!$V$2,Таблица_моды_оружие[],6,0)))</f>
        <v>1.5</v>
      </c>
      <c r="AJ19" s="930">
        <v>0.3</v>
      </c>
      <c r="AK19" s="560">
        <v>35</v>
      </c>
      <c r="AL19" s="560">
        <v>35</v>
      </c>
      <c r="AM19" s="739">
        <v>0</v>
      </c>
      <c r="AN19" s="967">
        <f>Таблица_оружие[[#This Row],[FH]]*(1+Примерочная!$U$7*VLOOKUP(Примерочная!$V$2,Таблица_моды_оружие[],11,0))-Таблица_оружие[[#This Row],[FH]]</f>
        <v>0</v>
      </c>
      <c r="AO19" s="968">
        <f>Таблица_оружие[[#This Row],[CH]]*(1+Примерочная!$U$7*VLOOKUP(Примерочная!$V$2,Таблица_моды_оружие[],11,0))-Таблица_оружие[[#This Row],[CH]]</f>
        <v>0</v>
      </c>
      <c r="AP19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20" spans="1:42" ht="33" customHeight="1" x14ac:dyDescent="0.25">
      <c r="A20" s="561" t="s">
        <v>63</v>
      </c>
      <c r="B20" s="598"/>
      <c r="C20" s="611">
        <v>38</v>
      </c>
      <c r="D20" s="611">
        <v>42</v>
      </c>
      <c r="E20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20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20" s="599">
        <f>SUM(Таблица_оружие[[#This Row],[урон макс.]]+Таблица_оружие[[#This Row],[урон мин.]])/2</f>
        <v>40</v>
      </c>
      <c r="H20" s="128">
        <f>SUM(Таблица_оружие[[#This Row],[урон макс.]]-Таблица_оружие[[#This Row],[урон мин.]])</f>
        <v>4</v>
      </c>
      <c r="I20" s="645">
        <f>12</f>
        <v>12</v>
      </c>
      <c r="J20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20" s="600">
        <f>Таблица_оружие[[#This Row],[урон макс.]]*Таблица_оружие[[#This Row],[крит множ]]</f>
        <v>63</v>
      </c>
      <c r="L20" s="615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20" s="566">
        <v>70</v>
      </c>
      <c r="N20" s="360">
        <v>85</v>
      </c>
      <c r="O20" s="360">
        <v>0</v>
      </c>
      <c r="P20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20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20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20" s="566">
        <v>0</v>
      </c>
      <c r="T20" s="360">
        <v>0</v>
      </c>
      <c r="U20" s="360">
        <v>0</v>
      </c>
      <c r="V20" s="360">
        <v>6</v>
      </c>
      <c r="W20" s="360">
        <v>7</v>
      </c>
      <c r="X20" s="360">
        <v>0</v>
      </c>
      <c r="Y20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20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20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20" s="617">
        <v>27</v>
      </c>
      <c r="AC20" s="618">
        <f>(Примерочная!$U$7*VLOOKUP(Таблица_оружие[[#This Row],[название]],Таблица_моды_оружие[],11,0))</f>
        <v>0</v>
      </c>
      <c r="AD20" s="360"/>
      <c r="AE20" s="561"/>
      <c r="AF20" s="360"/>
      <c r="AG20" s="559"/>
      <c r="AH20" s="605">
        <v>1.5</v>
      </c>
      <c r="AI20" s="922">
        <f>Таблица_оружие[[#This Row],[крит множ]]+(Таблица_оружие[[#This Row],[крит множ]]*(Примерочная!$S$7*VLOOKUP(Примерочная!$V$2,Таблица_моды_оружие[],6,0)))</f>
        <v>1.5</v>
      </c>
      <c r="AJ20" s="931">
        <v>0.3</v>
      </c>
      <c r="AK20" s="360">
        <v>35</v>
      </c>
      <c r="AL20" s="360">
        <v>35</v>
      </c>
      <c r="AM20" s="559">
        <v>0</v>
      </c>
      <c r="AN20" s="967">
        <f>Таблица_оружие[[#This Row],[FH]]*(1+Примерочная!$U$7*VLOOKUP(Примерочная!$V$2,Таблица_моды_оружие[],11,0))-Таблица_оружие[[#This Row],[FH]]</f>
        <v>0</v>
      </c>
      <c r="AO20" s="968">
        <f>Таблица_оружие[[#This Row],[CH]]*(1+Примерочная!$U$7*VLOOKUP(Примерочная!$V$2,Таблица_моды_оружие[],11,0))-Таблица_оружие[[#This Row],[CH]]</f>
        <v>0</v>
      </c>
      <c r="AP20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21" spans="1:42" ht="33" customHeight="1" thickBot="1" x14ac:dyDescent="0.3">
      <c r="A21" s="699"/>
      <c r="B21" s="558"/>
      <c r="C21" s="729"/>
      <c r="D21" s="735"/>
      <c r="E21" s="688"/>
      <c r="F21" s="689"/>
      <c r="G21" s="690"/>
      <c r="H21" s="691"/>
      <c r="I21" s="692"/>
      <c r="J21" s="693"/>
      <c r="K21" s="729"/>
      <c r="L21" s="695"/>
      <c r="M21" s="694"/>
      <c r="N21" s="696"/>
      <c r="O21" s="696"/>
      <c r="P21" s="688"/>
      <c r="Q21" s="688"/>
      <c r="R21" s="689"/>
      <c r="S21" s="694"/>
      <c r="T21" s="696"/>
      <c r="U21" s="696"/>
      <c r="V21" s="696"/>
      <c r="W21" s="696"/>
      <c r="X21" s="696"/>
      <c r="Y21" s="697"/>
      <c r="Z21" s="697"/>
      <c r="AA21" s="693"/>
      <c r="AB21" s="698"/>
      <c r="AC21" s="93"/>
      <c r="AD21" s="93"/>
      <c r="AE21" s="699"/>
      <c r="AF21" s="93"/>
      <c r="AG21" s="558"/>
      <c r="AH21" s="700"/>
      <c r="AI21" s="161"/>
      <c r="AJ21" s="694"/>
      <c r="AK21" s="696"/>
      <c r="AL21" s="696"/>
      <c r="AM21" s="951"/>
      <c r="AN21" s="952"/>
      <c r="AO21" s="953"/>
      <c r="AP21" s="954"/>
    </row>
    <row r="22" spans="1:42" s="677" customFormat="1" ht="33" customHeight="1" thickBot="1" x14ac:dyDescent="0.3">
      <c r="A22" s="738" t="s">
        <v>66</v>
      </c>
      <c r="B22" s="679"/>
      <c r="C22" s="730"/>
      <c r="D22" s="730"/>
      <c r="E22" s="723"/>
      <c r="F22" s="724"/>
      <c r="G22" s="680"/>
      <c r="H22" s="681"/>
      <c r="I22" s="720"/>
      <c r="J22" s="709"/>
      <c r="K22" s="730"/>
      <c r="L22" s="717"/>
      <c r="M22" s="708"/>
      <c r="N22" s="708"/>
      <c r="O22" s="708"/>
      <c r="P22" s="717"/>
      <c r="Q22" s="717"/>
      <c r="R22" s="717"/>
      <c r="S22" s="708"/>
      <c r="T22" s="708"/>
      <c r="U22" s="708"/>
      <c r="V22" s="708"/>
      <c r="W22" s="708"/>
      <c r="X22" s="708"/>
      <c r="Y22" s="709"/>
      <c r="Z22" s="709"/>
      <c r="AA22" s="709"/>
      <c r="AB22" s="682"/>
      <c r="AC22" s="683"/>
      <c r="AD22" s="684"/>
      <c r="AE22" s="684"/>
      <c r="AF22" s="684"/>
      <c r="AG22" s="684"/>
      <c r="AH22" s="704"/>
      <c r="AI22" s="701"/>
      <c r="AJ22" s="955"/>
      <c r="AK22" s="685"/>
      <c r="AL22" s="685"/>
      <c r="AM22" s="740"/>
      <c r="AN22" s="956"/>
      <c r="AO22" s="957"/>
      <c r="AP22" s="958"/>
    </row>
    <row r="23" spans="1:42" s="702" customFormat="1" ht="33" customHeight="1" x14ac:dyDescent="0.25">
      <c r="A23" s="741"/>
      <c r="B23" s="654"/>
      <c r="C23" s="731"/>
      <c r="D23" s="736"/>
      <c r="E23" s="718"/>
      <c r="F23" s="719"/>
      <c r="G23" s="655"/>
      <c r="H23" s="656"/>
      <c r="I23" s="721"/>
      <c r="J23" s="713"/>
      <c r="K23" s="731"/>
      <c r="L23" s="719"/>
      <c r="M23" s="710"/>
      <c r="N23" s="711"/>
      <c r="O23" s="711"/>
      <c r="P23" s="718"/>
      <c r="Q23" s="718"/>
      <c r="R23" s="719"/>
      <c r="S23" s="710"/>
      <c r="T23" s="711"/>
      <c r="U23" s="711"/>
      <c r="V23" s="711"/>
      <c r="W23" s="711"/>
      <c r="X23" s="711"/>
      <c r="Y23" s="712"/>
      <c r="Z23" s="712"/>
      <c r="AA23" s="713"/>
      <c r="AB23" s="707"/>
      <c r="AC23" s="657"/>
      <c r="AD23" s="657"/>
      <c r="AE23" s="657"/>
      <c r="AF23" s="657"/>
      <c r="AG23" s="654"/>
      <c r="AH23" s="705"/>
      <c r="AI23" s="923"/>
      <c r="AJ23" s="710"/>
      <c r="AK23" s="711"/>
      <c r="AL23" s="711"/>
      <c r="AM23" s="959"/>
      <c r="AN23" s="960"/>
      <c r="AO23" s="961"/>
      <c r="AP23" s="962"/>
    </row>
    <row r="24" spans="1:42" ht="33" customHeight="1" x14ac:dyDescent="0.25">
      <c r="A24" s="561" t="s">
        <v>72</v>
      </c>
      <c r="B24" s="722"/>
      <c r="C24" s="639">
        <v>3.6</v>
      </c>
      <c r="D24" s="639">
        <v>5.4</v>
      </c>
      <c r="E24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24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24" s="655">
        <f>SUM(Таблица_оружие[[#This Row],[урон макс.]]+Таблица_оружие[[#This Row],[урон мин.]])/2</f>
        <v>4.5</v>
      </c>
      <c r="H24" s="656">
        <f>SUM(Таблица_оружие[[#This Row],[урон макс.]]-Таблица_оружие[[#This Row],[урон мин.]])</f>
        <v>1.8000000000000003</v>
      </c>
      <c r="I24" s="640">
        <v>6</v>
      </c>
      <c r="J24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24" s="727">
        <f>Таблица_оружие[[#This Row],[урон макс.]]*Таблица_оружие[[#This Row],[крит множ]]</f>
        <v>8.1000000000000014</v>
      </c>
      <c r="L24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24" s="640">
        <v>75</v>
      </c>
      <c r="N24" s="657">
        <v>70</v>
      </c>
      <c r="O24" s="657">
        <v>65</v>
      </c>
      <c r="P24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24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24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24" s="640">
        <v>0</v>
      </c>
      <c r="T24" s="657">
        <v>0</v>
      </c>
      <c r="U24" s="657">
        <v>0</v>
      </c>
      <c r="V24" s="657">
        <v>5</v>
      </c>
      <c r="W24" s="657">
        <v>4</v>
      </c>
      <c r="X24" s="657">
        <v>4</v>
      </c>
      <c r="Y24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24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24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24" s="653">
        <v>2</v>
      </c>
      <c r="AC24" s="725">
        <f>(Примерочная!$U$7*VLOOKUP(Таблица_оружие[[#This Row],[название]],Таблица_моды_оружие[],11,0))</f>
        <v>0</v>
      </c>
      <c r="AD24" s="657"/>
      <c r="AE24" s="657"/>
      <c r="AF24" s="657"/>
      <c r="AG24" s="654"/>
      <c r="AH24" s="659">
        <v>1.5</v>
      </c>
      <c r="AI24" s="922">
        <f>Таблица_оружие[[#This Row],[крит множ]]+(Таблица_оружие[[#This Row],[крит множ]]*(Примерочная!$S$7*VLOOKUP(Примерочная!$V$2,Таблица_моды_оружие[],6,0)))</f>
        <v>1.5</v>
      </c>
      <c r="AJ24" s="931">
        <v>0.3</v>
      </c>
      <c r="AK24" s="360">
        <v>35</v>
      </c>
      <c r="AL24" s="360">
        <v>35</v>
      </c>
      <c r="AM24" s="559">
        <v>0</v>
      </c>
      <c r="AN24" s="938">
        <f>Таблица_оружие[[#This Row],[FH]]*(1+Примерочная!$U$7*VLOOKUP(Примерочная!$V$2,Таблица_моды_оружие[],11,0))-Таблица_оружие[[#This Row],[FH]]</f>
        <v>0</v>
      </c>
      <c r="AO24" s="918">
        <f>Таблица_оружие[[#This Row],[CH]]*(1+Примерочная!$U$7*VLOOKUP(Примерочная!$V$2,Таблица_моды_оружие[],11,0))-Таблица_оружие[[#This Row],[CH]]</f>
        <v>0</v>
      </c>
      <c r="AP24" s="948">
        <f>Таблица_оружие[[#This Row],[EM]]*(1+Примерочная!$U$7*VLOOKUP(Примерочная!$V$2,Таблица_моды_оружие[],11,0))-Таблица_оружие[[#This Row],[EM]]</f>
        <v>0</v>
      </c>
    </row>
    <row r="25" spans="1:42" ht="33" customHeight="1" x14ac:dyDescent="0.25">
      <c r="A25" s="561" t="s">
        <v>73</v>
      </c>
      <c r="B25" s="722"/>
      <c r="C25" s="639">
        <v>5</v>
      </c>
      <c r="D25" s="639">
        <v>7</v>
      </c>
      <c r="E25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25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25" s="655">
        <f>SUM(Таблица_оружие[[#This Row],[урон макс.]]+Таблица_оружие[[#This Row],[урон мин.]])/2</f>
        <v>6</v>
      </c>
      <c r="H25" s="656">
        <f>SUM(Таблица_оружие[[#This Row],[урон макс.]]-Таблица_оружие[[#This Row],[урон мин.]])</f>
        <v>2</v>
      </c>
      <c r="I25" s="640">
        <v>6</v>
      </c>
      <c r="J25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25" s="727">
        <f>Таблица_оружие[[#This Row],[урон макс.]]*Таблица_оружие[[#This Row],[крит множ]]</f>
        <v>10.5</v>
      </c>
      <c r="L25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25" s="640">
        <v>75</v>
      </c>
      <c r="N25" s="657">
        <v>70</v>
      </c>
      <c r="O25" s="657">
        <v>65</v>
      </c>
      <c r="P25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25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25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25" s="640">
        <v>0</v>
      </c>
      <c r="T25" s="657">
        <v>0</v>
      </c>
      <c r="U25" s="657">
        <v>0</v>
      </c>
      <c r="V25" s="657">
        <v>5</v>
      </c>
      <c r="W25" s="657">
        <v>4</v>
      </c>
      <c r="X25" s="657">
        <v>4</v>
      </c>
      <c r="Y25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25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25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25" s="653">
        <v>3</v>
      </c>
      <c r="AC25" s="725">
        <f>(Примерочная!$U$7*VLOOKUP(Таблица_оружие[[#This Row],[название]],Таблица_моды_оружие[],11,0))</f>
        <v>0</v>
      </c>
      <c r="AD25" s="657"/>
      <c r="AE25" s="657"/>
      <c r="AF25" s="657"/>
      <c r="AG25" s="654"/>
      <c r="AH25" s="659">
        <v>1.5</v>
      </c>
      <c r="AI25" s="922">
        <f>Таблица_оружие[[#This Row],[крит множ]]+(Таблица_оружие[[#This Row],[крит множ]]*(Примерочная!$S$7*VLOOKUP(Примерочная!$V$2,Таблица_моды_оружие[],6,0)))</f>
        <v>1.5</v>
      </c>
      <c r="AJ25" s="931">
        <v>0.3</v>
      </c>
      <c r="AK25" s="360">
        <v>35</v>
      </c>
      <c r="AL25" s="360">
        <v>35</v>
      </c>
      <c r="AM25" s="559">
        <v>0</v>
      </c>
      <c r="AN25" s="938">
        <f>Таблица_оружие[[#This Row],[FH]]*(1+Примерочная!$U$7*VLOOKUP(Примерочная!$V$2,Таблица_моды_оружие[],11,0))-Таблица_оружие[[#This Row],[FH]]</f>
        <v>0</v>
      </c>
      <c r="AO25" s="918">
        <f>Таблица_оружие[[#This Row],[CH]]*(1+Примерочная!$U$7*VLOOKUP(Примерочная!$V$2,Таблица_моды_оружие[],11,0))-Таблица_оружие[[#This Row],[CH]]</f>
        <v>0</v>
      </c>
      <c r="AP25" s="948">
        <f>Таблица_оружие[[#This Row],[EM]]*(1+Примерочная!$U$7*VLOOKUP(Примерочная!$V$2,Таблица_моды_оружие[],11,0))-Таблица_оружие[[#This Row],[EM]]</f>
        <v>0</v>
      </c>
    </row>
    <row r="26" spans="1:42" ht="33" customHeight="1" x14ac:dyDescent="0.25">
      <c r="A26" s="561" t="s">
        <v>74</v>
      </c>
      <c r="B26" s="722"/>
      <c r="C26" s="639">
        <v>6</v>
      </c>
      <c r="D26" s="639">
        <v>10</v>
      </c>
      <c r="E26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26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26" s="655">
        <f>SUM(Таблица_оружие[[#This Row],[урон макс.]]+Таблица_оружие[[#This Row],[урон мин.]])/2</f>
        <v>8</v>
      </c>
      <c r="H26" s="656">
        <f>SUM(Таблица_оружие[[#This Row],[урон макс.]]-Таблица_оружие[[#This Row],[урон мин.]])</f>
        <v>4</v>
      </c>
      <c r="I26" s="640">
        <v>6</v>
      </c>
      <c r="J26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26" s="727">
        <f>Таблица_оружие[[#This Row],[урон макс.]]*Таблица_оружие[[#This Row],[крит множ]]</f>
        <v>15</v>
      </c>
      <c r="L26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26" s="640">
        <v>75</v>
      </c>
      <c r="N26" s="657">
        <v>70</v>
      </c>
      <c r="O26" s="657">
        <v>65</v>
      </c>
      <c r="P26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26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26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26" s="640">
        <v>0</v>
      </c>
      <c r="T26" s="657">
        <v>0</v>
      </c>
      <c r="U26" s="657">
        <v>0</v>
      </c>
      <c r="V26" s="657">
        <v>5</v>
      </c>
      <c r="W26" s="657">
        <v>4</v>
      </c>
      <c r="X26" s="657">
        <v>4</v>
      </c>
      <c r="Y26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26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26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26" s="653">
        <v>5</v>
      </c>
      <c r="AC26" s="725">
        <f>(Примерочная!$U$7*VLOOKUP(Таблица_оружие[[#This Row],[название]],Таблица_моды_оружие[],11,0))</f>
        <v>0</v>
      </c>
      <c r="AD26" s="657"/>
      <c r="AE26" s="657"/>
      <c r="AF26" s="657"/>
      <c r="AG26" s="654"/>
      <c r="AH26" s="659">
        <v>1.5</v>
      </c>
      <c r="AI26" s="922">
        <f>Таблица_оружие[[#This Row],[крит множ]]+(Таблица_оружие[[#This Row],[крит множ]]*(Примерочная!$S$7*VLOOKUP(Примерочная!$V$2,Таблица_моды_оружие[],6,0)))</f>
        <v>1.5</v>
      </c>
      <c r="AJ26" s="931">
        <v>0.3</v>
      </c>
      <c r="AK26" s="360">
        <v>35</v>
      </c>
      <c r="AL26" s="360">
        <v>35</v>
      </c>
      <c r="AM26" s="559">
        <v>0</v>
      </c>
      <c r="AN26" s="938">
        <f>Таблица_оружие[[#This Row],[FH]]*(1+Примерочная!$U$7*VLOOKUP(Примерочная!$V$2,Таблица_моды_оружие[],11,0))-Таблица_оружие[[#This Row],[FH]]</f>
        <v>0</v>
      </c>
      <c r="AO26" s="918">
        <f>Таблица_оружие[[#This Row],[CH]]*(1+Примерочная!$U$7*VLOOKUP(Примерочная!$V$2,Таблица_моды_оружие[],11,0))-Таблица_оружие[[#This Row],[CH]]</f>
        <v>0</v>
      </c>
      <c r="AP26" s="948">
        <f>Таблица_оружие[[#This Row],[EM]]*(1+Примерочная!$U$7*VLOOKUP(Примерочная!$V$2,Таблица_моды_оружие[],11,0))-Таблица_оружие[[#This Row],[EM]]</f>
        <v>0</v>
      </c>
    </row>
    <row r="27" spans="1:42" ht="33" customHeight="1" x14ac:dyDescent="0.25">
      <c r="A27" s="561" t="s">
        <v>75</v>
      </c>
      <c r="B27" s="722"/>
      <c r="C27" s="639">
        <v>8</v>
      </c>
      <c r="D27" s="639">
        <v>11</v>
      </c>
      <c r="E27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27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27" s="655">
        <f>SUM(Таблица_оружие[[#This Row],[урон макс.]]+Таблица_оружие[[#This Row],[урон мин.]])/2</f>
        <v>9.5</v>
      </c>
      <c r="H27" s="656">
        <f>SUM(Таблица_оружие[[#This Row],[урон макс.]]-Таблица_оружие[[#This Row],[урон мин.]])</f>
        <v>3</v>
      </c>
      <c r="I27" s="640">
        <v>6</v>
      </c>
      <c r="J27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27" s="727">
        <f>Таблица_оружие[[#This Row],[урон макс.]]*Таблица_оружие[[#This Row],[крит множ]]</f>
        <v>16.5</v>
      </c>
      <c r="L27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27" s="640">
        <v>75</v>
      </c>
      <c r="N27" s="657">
        <v>70</v>
      </c>
      <c r="O27" s="657">
        <v>65</v>
      </c>
      <c r="P27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27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27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27" s="640">
        <v>0</v>
      </c>
      <c r="T27" s="657">
        <v>0</v>
      </c>
      <c r="U27" s="657">
        <v>0</v>
      </c>
      <c r="V27" s="657">
        <v>5</v>
      </c>
      <c r="W27" s="657">
        <v>4</v>
      </c>
      <c r="X27" s="657">
        <v>4</v>
      </c>
      <c r="Y27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27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27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27" s="653">
        <v>7</v>
      </c>
      <c r="AC27" s="725">
        <f>(Примерочная!$U$7*VLOOKUP(Таблица_оружие[[#This Row],[название]],Таблица_моды_оружие[],11,0))</f>
        <v>0</v>
      </c>
      <c r="AD27" s="657"/>
      <c r="AE27" s="657"/>
      <c r="AF27" s="657"/>
      <c r="AG27" s="654"/>
      <c r="AH27" s="659">
        <v>1.5</v>
      </c>
      <c r="AI27" s="922">
        <f>Таблица_оружие[[#This Row],[крит множ]]+(Таблица_оружие[[#This Row],[крит множ]]*(Примерочная!$S$7*VLOOKUP(Примерочная!$V$2,Таблица_моды_оружие[],6,0)))</f>
        <v>1.5</v>
      </c>
      <c r="AJ27" s="931">
        <v>0.3</v>
      </c>
      <c r="AK27" s="360">
        <v>35</v>
      </c>
      <c r="AL27" s="360">
        <v>35</v>
      </c>
      <c r="AM27" s="559">
        <v>0</v>
      </c>
      <c r="AN27" s="938">
        <f>Таблица_оружие[[#This Row],[FH]]*(1+Примерочная!$U$7*VLOOKUP(Примерочная!$V$2,Таблица_моды_оружие[],11,0))-Таблица_оружие[[#This Row],[FH]]</f>
        <v>0</v>
      </c>
      <c r="AO27" s="918">
        <f>Таблица_оружие[[#This Row],[CH]]*(1+Примерочная!$U$7*VLOOKUP(Примерочная!$V$2,Таблица_моды_оружие[],11,0))-Таблица_оружие[[#This Row],[CH]]</f>
        <v>0</v>
      </c>
      <c r="AP27" s="948">
        <f>Таблица_оружие[[#This Row],[EM]]*(1+Примерочная!$U$7*VLOOKUP(Примерочная!$V$2,Таблица_моды_оружие[],11,0))-Таблица_оружие[[#This Row],[EM]]</f>
        <v>0</v>
      </c>
    </row>
    <row r="28" spans="1:42" ht="33" customHeight="1" x14ac:dyDescent="0.25">
      <c r="A28" s="561" t="s">
        <v>76</v>
      </c>
      <c r="B28" s="722"/>
      <c r="C28" s="639">
        <v>9</v>
      </c>
      <c r="D28" s="639">
        <v>13</v>
      </c>
      <c r="E28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28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28" s="655">
        <f>SUM(Таблица_оружие[[#This Row],[урон макс.]]+Таблица_оружие[[#This Row],[урон мин.]])/2</f>
        <v>11</v>
      </c>
      <c r="H28" s="656">
        <f>SUM(Таблица_оружие[[#This Row],[урон макс.]]-Таблица_оружие[[#This Row],[урон мин.]])</f>
        <v>4</v>
      </c>
      <c r="I28" s="640">
        <v>6</v>
      </c>
      <c r="J28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28" s="727">
        <f>Таблица_оружие[[#This Row],[урон макс.]]*Таблица_оружие[[#This Row],[крит множ]]</f>
        <v>19.5</v>
      </c>
      <c r="L28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28" s="640">
        <v>75</v>
      </c>
      <c r="N28" s="657">
        <v>70</v>
      </c>
      <c r="O28" s="657">
        <v>65</v>
      </c>
      <c r="P28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28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28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28" s="640">
        <v>0</v>
      </c>
      <c r="T28" s="657">
        <v>0</v>
      </c>
      <c r="U28" s="657">
        <v>0</v>
      </c>
      <c r="V28" s="657">
        <v>5</v>
      </c>
      <c r="W28" s="657">
        <v>4</v>
      </c>
      <c r="X28" s="657">
        <v>4</v>
      </c>
      <c r="Y28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28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28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28" s="653">
        <v>9</v>
      </c>
      <c r="AC28" s="725">
        <f>(Примерочная!$U$7*VLOOKUP(Таблица_оружие[[#This Row],[название]],Таблица_моды_оружие[],11,0))</f>
        <v>0</v>
      </c>
      <c r="AD28" s="657"/>
      <c r="AE28" s="657"/>
      <c r="AF28" s="657"/>
      <c r="AG28" s="654"/>
      <c r="AH28" s="659">
        <v>1.5</v>
      </c>
      <c r="AI28" s="922">
        <f>Таблица_оружие[[#This Row],[крит множ]]+(Таблица_оружие[[#This Row],[крит множ]]*(Примерочная!$S$7*VLOOKUP(Примерочная!$V$2,Таблица_моды_оружие[],6,0)))</f>
        <v>1.5</v>
      </c>
      <c r="AJ28" s="931">
        <v>0.3</v>
      </c>
      <c r="AK28" s="360">
        <v>35</v>
      </c>
      <c r="AL28" s="360">
        <v>35</v>
      </c>
      <c r="AM28" s="559">
        <v>0</v>
      </c>
      <c r="AN28" s="938">
        <f>Таблица_оружие[[#This Row],[FH]]*(1+Примерочная!$U$7*VLOOKUP(Примерочная!$V$2,Таблица_моды_оружие[],11,0))-Таблица_оружие[[#This Row],[FH]]</f>
        <v>0</v>
      </c>
      <c r="AO28" s="918">
        <f>Таблица_оружие[[#This Row],[CH]]*(1+Примерочная!$U$7*VLOOKUP(Примерочная!$V$2,Таблица_моды_оружие[],11,0))-Таблица_оружие[[#This Row],[CH]]</f>
        <v>0</v>
      </c>
      <c r="AP28" s="948">
        <f>Таблица_оружие[[#This Row],[EM]]*(1+Примерочная!$U$7*VLOOKUP(Примерочная!$V$2,Таблица_моды_оружие[],11,0))-Таблица_оружие[[#This Row],[EM]]</f>
        <v>0</v>
      </c>
    </row>
    <row r="29" spans="1:42" ht="33" customHeight="1" x14ac:dyDescent="0.25">
      <c r="A29" s="561" t="s">
        <v>77</v>
      </c>
      <c r="B29" s="722"/>
      <c r="C29" s="639">
        <v>11</v>
      </c>
      <c r="D29" s="639">
        <v>16</v>
      </c>
      <c r="E29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29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29" s="655">
        <f>SUM(Таблица_оружие[[#This Row],[урон макс.]]+Таблица_оружие[[#This Row],[урон мин.]])/2</f>
        <v>13.5</v>
      </c>
      <c r="H29" s="656">
        <f>SUM(Таблица_оружие[[#This Row],[урон макс.]]-Таблица_оружие[[#This Row],[урон мин.]])</f>
        <v>5</v>
      </c>
      <c r="I29" s="640">
        <v>6</v>
      </c>
      <c r="J29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29" s="727">
        <f>Таблица_оружие[[#This Row],[урон макс.]]*Таблица_оружие[[#This Row],[крит множ]]</f>
        <v>32</v>
      </c>
      <c r="L29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29" s="640">
        <v>75</v>
      </c>
      <c r="N29" s="657">
        <v>70</v>
      </c>
      <c r="O29" s="657">
        <v>65</v>
      </c>
      <c r="P29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29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29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29" s="640">
        <v>0</v>
      </c>
      <c r="T29" s="657">
        <v>0</v>
      </c>
      <c r="U29" s="657">
        <v>0</v>
      </c>
      <c r="V29" s="657">
        <v>5</v>
      </c>
      <c r="W29" s="657">
        <v>4</v>
      </c>
      <c r="X29" s="657">
        <v>4</v>
      </c>
      <c r="Y29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29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29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29" s="653">
        <v>11</v>
      </c>
      <c r="AC29" s="725">
        <f>(Примерочная!$U$7*VLOOKUP(Таблица_оружие[[#This Row],[название]],Таблица_моды_оружие[],11,0))</f>
        <v>0</v>
      </c>
      <c r="AD29" s="657"/>
      <c r="AE29" s="657"/>
      <c r="AF29" s="657"/>
      <c r="AG29" s="654"/>
      <c r="AH29" s="659">
        <v>2</v>
      </c>
      <c r="AI29" s="922">
        <f>Таблица_оружие[[#This Row],[крит множ]]+(Таблица_оружие[[#This Row],[крит множ]]*(Примерочная!$S$7*VLOOKUP(Примерочная!$V$2,Таблица_моды_оружие[],6,0)))</f>
        <v>2</v>
      </c>
      <c r="AJ29" s="931">
        <v>0.3</v>
      </c>
      <c r="AK29" s="360">
        <v>35</v>
      </c>
      <c r="AL29" s="360">
        <v>35</v>
      </c>
      <c r="AM29" s="559">
        <v>0</v>
      </c>
      <c r="AN29" s="938">
        <f>Таблица_оружие[[#This Row],[FH]]*(1+Примерочная!$U$7*VLOOKUP(Примерочная!$V$2,Таблица_моды_оружие[],11,0))-Таблица_оружие[[#This Row],[FH]]</f>
        <v>0</v>
      </c>
      <c r="AO29" s="918">
        <f>Таблица_оружие[[#This Row],[CH]]*(1+Примерочная!$U$7*VLOOKUP(Примерочная!$V$2,Таблица_моды_оружие[],11,0))-Таблица_оружие[[#This Row],[CH]]</f>
        <v>0</v>
      </c>
      <c r="AP29" s="948">
        <f>Таблица_оружие[[#This Row],[EM]]*(1+Примерочная!$U$7*VLOOKUP(Примерочная!$V$2,Таблица_моды_оружие[],11,0))-Таблица_оружие[[#This Row],[EM]]</f>
        <v>0</v>
      </c>
    </row>
    <row r="30" spans="1:42" ht="33" customHeight="1" x14ac:dyDescent="0.25">
      <c r="A30" s="561" t="s">
        <v>78</v>
      </c>
      <c r="B30" s="722"/>
      <c r="C30" s="639">
        <v>12</v>
      </c>
      <c r="D30" s="639">
        <v>17</v>
      </c>
      <c r="E30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30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30" s="655">
        <f>SUM(Таблица_оружие[[#This Row],[урон макс.]]+Таблица_оружие[[#This Row],[урон мин.]])/2</f>
        <v>14.5</v>
      </c>
      <c r="H30" s="656">
        <f>SUM(Таблица_оружие[[#This Row],[урон макс.]]-Таблица_оружие[[#This Row],[урон мин.]])</f>
        <v>5</v>
      </c>
      <c r="I30" s="640">
        <v>6</v>
      </c>
      <c r="J30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30" s="727">
        <f>Таблица_оружие[[#This Row],[урон макс.]]*Таблица_оружие[[#This Row],[крит множ]]</f>
        <v>34</v>
      </c>
      <c r="L30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30" s="640">
        <v>75</v>
      </c>
      <c r="N30" s="657">
        <v>70</v>
      </c>
      <c r="O30" s="657">
        <v>65</v>
      </c>
      <c r="P30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30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30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30" s="640">
        <v>0</v>
      </c>
      <c r="T30" s="657">
        <v>0</v>
      </c>
      <c r="U30" s="657">
        <v>0</v>
      </c>
      <c r="V30" s="657">
        <v>5</v>
      </c>
      <c r="W30" s="657">
        <v>4</v>
      </c>
      <c r="X30" s="657">
        <v>4</v>
      </c>
      <c r="Y30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30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30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30" s="653">
        <v>13</v>
      </c>
      <c r="AC30" s="725">
        <f>(Примерочная!$U$7*VLOOKUP(Таблица_оружие[[#This Row],[название]],Таблица_моды_оружие[],11,0))</f>
        <v>0</v>
      </c>
      <c r="AD30" s="657"/>
      <c r="AE30" s="657"/>
      <c r="AF30" s="657"/>
      <c r="AG30" s="654"/>
      <c r="AH30" s="659">
        <v>2</v>
      </c>
      <c r="AI30" s="922">
        <f>Таблица_оружие[[#This Row],[крит множ]]+(Таблица_оружие[[#This Row],[крит множ]]*(Примерочная!$S$7*VLOOKUP(Примерочная!$V$2,Таблица_моды_оружие[],6,0)))</f>
        <v>2</v>
      </c>
      <c r="AJ30" s="931">
        <v>0.3</v>
      </c>
      <c r="AK30" s="360">
        <v>35</v>
      </c>
      <c r="AL30" s="360">
        <v>35</v>
      </c>
      <c r="AM30" s="559">
        <v>0</v>
      </c>
      <c r="AN30" s="938">
        <f>Таблица_оружие[[#This Row],[FH]]*(1+Примерочная!$U$7*VLOOKUP(Примерочная!$V$2,Таблица_моды_оружие[],11,0))-Таблица_оружие[[#This Row],[FH]]</f>
        <v>0</v>
      </c>
      <c r="AO30" s="918">
        <f>Таблица_оружие[[#This Row],[CH]]*(1+Примерочная!$U$7*VLOOKUP(Примерочная!$V$2,Таблица_моды_оружие[],11,0))-Таблица_оружие[[#This Row],[CH]]</f>
        <v>0</v>
      </c>
      <c r="AP30" s="948">
        <f>Таблица_оружие[[#This Row],[EM]]*(1+Примерочная!$U$7*VLOOKUP(Примерочная!$V$2,Таблица_моды_оружие[],11,0))-Таблица_оружие[[#This Row],[EM]]</f>
        <v>0</v>
      </c>
    </row>
    <row r="31" spans="1:42" ht="33" customHeight="1" x14ac:dyDescent="0.25">
      <c r="A31" s="561" t="s">
        <v>79</v>
      </c>
      <c r="B31" s="722"/>
      <c r="C31" s="639">
        <v>15</v>
      </c>
      <c r="D31" s="639">
        <v>17</v>
      </c>
      <c r="E31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31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31" s="655">
        <f>SUM(Таблица_оружие[[#This Row],[урон макс.]]+Таблица_оружие[[#This Row],[урон мин.]])/2</f>
        <v>16</v>
      </c>
      <c r="H31" s="656">
        <f>SUM(Таблица_оружие[[#This Row],[урон макс.]]-Таблица_оружие[[#This Row],[урон мин.]])</f>
        <v>2</v>
      </c>
      <c r="I31" s="640">
        <v>6</v>
      </c>
      <c r="J31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31" s="727">
        <f>Таблица_оружие[[#This Row],[урон макс.]]*Таблица_оружие[[#This Row],[крит множ]]</f>
        <v>34</v>
      </c>
      <c r="L31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31" s="640">
        <v>75</v>
      </c>
      <c r="N31" s="657">
        <v>70</v>
      </c>
      <c r="O31" s="657">
        <v>65</v>
      </c>
      <c r="P31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31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31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31" s="640">
        <v>0</v>
      </c>
      <c r="T31" s="657">
        <v>0</v>
      </c>
      <c r="U31" s="657">
        <v>0</v>
      </c>
      <c r="V31" s="657">
        <v>5</v>
      </c>
      <c r="W31" s="657">
        <v>4</v>
      </c>
      <c r="X31" s="657">
        <v>4</v>
      </c>
      <c r="Y31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31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31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31" s="653">
        <v>15</v>
      </c>
      <c r="AC31" s="725">
        <f>(Примерочная!$U$7*VLOOKUP(Таблица_оружие[[#This Row],[название]],Таблица_моды_оружие[],11,0))</f>
        <v>0</v>
      </c>
      <c r="AD31" s="657"/>
      <c r="AE31" s="657"/>
      <c r="AF31" s="657"/>
      <c r="AG31" s="654"/>
      <c r="AH31" s="659">
        <v>2</v>
      </c>
      <c r="AI31" s="922">
        <f>Таблица_оружие[[#This Row],[крит множ]]+(Таблица_оружие[[#This Row],[крит множ]]*(Примерочная!$S$7*VLOOKUP(Примерочная!$V$2,Таблица_моды_оружие[],6,0)))</f>
        <v>2</v>
      </c>
      <c r="AJ31" s="931">
        <v>0.3</v>
      </c>
      <c r="AK31" s="360">
        <v>35</v>
      </c>
      <c r="AL31" s="360">
        <v>35</v>
      </c>
      <c r="AM31" s="559">
        <v>0</v>
      </c>
      <c r="AN31" s="938">
        <f>Таблица_оружие[[#This Row],[FH]]*(1+Примерочная!$U$7*VLOOKUP(Примерочная!$V$2,Таблица_моды_оружие[],11,0))-Таблица_оружие[[#This Row],[FH]]</f>
        <v>0</v>
      </c>
      <c r="AO31" s="918">
        <f>Таблица_оружие[[#This Row],[CH]]*(1+Примерочная!$U$7*VLOOKUP(Примерочная!$V$2,Таблица_моды_оружие[],11,0))-Таблица_оружие[[#This Row],[CH]]</f>
        <v>0</v>
      </c>
      <c r="AP31" s="948">
        <f>Таблица_оружие[[#This Row],[EM]]*(1+Примерочная!$U$7*VLOOKUP(Примерочная!$V$2,Таблица_моды_оружие[],11,0))-Таблица_оружие[[#This Row],[EM]]</f>
        <v>0</v>
      </c>
    </row>
    <row r="32" spans="1:42" ht="33" customHeight="1" x14ac:dyDescent="0.25">
      <c r="A32" s="561" t="s">
        <v>80</v>
      </c>
      <c r="B32" s="722"/>
      <c r="C32" s="639">
        <v>17</v>
      </c>
      <c r="D32" s="639">
        <v>20</v>
      </c>
      <c r="E32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32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32" s="655">
        <f>SUM(Таблица_оружие[[#This Row],[урон макс.]]+Таблица_оружие[[#This Row],[урон мин.]])/2</f>
        <v>18.5</v>
      </c>
      <c r="H32" s="656">
        <f>SUM(Таблица_оружие[[#This Row],[урон макс.]]-Таблица_оружие[[#This Row],[урон мин.]])</f>
        <v>3</v>
      </c>
      <c r="I32" s="640">
        <v>6</v>
      </c>
      <c r="J32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32" s="727">
        <f>Таблица_оружие[[#This Row],[урон макс.]]*Таблица_оружие[[#This Row],[крит множ]]</f>
        <v>40</v>
      </c>
      <c r="L32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32" s="640">
        <v>75</v>
      </c>
      <c r="N32" s="657">
        <v>70</v>
      </c>
      <c r="O32" s="657">
        <v>65</v>
      </c>
      <c r="P32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32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32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32" s="640">
        <v>0</v>
      </c>
      <c r="T32" s="657">
        <v>0</v>
      </c>
      <c r="U32" s="657">
        <v>0</v>
      </c>
      <c r="V32" s="657">
        <v>5</v>
      </c>
      <c r="W32" s="657">
        <v>4</v>
      </c>
      <c r="X32" s="657">
        <v>4</v>
      </c>
      <c r="Y32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32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32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32" s="653">
        <v>17</v>
      </c>
      <c r="AC32" s="725">
        <f>(Примерочная!$U$7*VLOOKUP(Таблица_оружие[[#This Row],[название]],Таблица_моды_оружие[],11,0))</f>
        <v>0</v>
      </c>
      <c r="AD32" s="657"/>
      <c r="AE32" s="657"/>
      <c r="AF32" s="657"/>
      <c r="AG32" s="654"/>
      <c r="AH32" s="659">
        <v>2</v>
      </c>
      <c r="AI32" s="922">
        <f>Таблица_оружие[[#This Row],[крит множ]]+(Таблица_оружие[[#This Row],[крит множ]]*(Примерочная!$S$7*VLOOKUP(Примерочная!$V$2,Таблица_моды_оружие[],6,0)))</f>
        <v>2</v>
      </c>
      <c r="AJ32" s="931">
        <v>0.3</v>
      </c>
      <c r="AK32" s="360">
        <v>35</v>
      </c>
      <c r="AL32" s="360">
        <v>35</v>
      </c>
      <c r="AM32" s="559">
        <v>0</v>
      </c>
      <c r="AN32" s="938">
        <f>Таблица_оружие[[#This Row],[FH]]*(1+Примерочная!$U$7*VLOOKUP(Примерочная!$V$2,Таблица_моды_оружие[],11,0))-Таблица_оружие[[#This Row],[FH]]</f>
        <v>0</v>
      </c>
      <c r="AO32" s="918">
        <f>Таблица_оружие[[#This Row],[CH]]*(1+Примерочная!$U$7*VLOOKUP(Примерочная!$V$2,Таблица_моды_оружие[],11,0))-Таблица_оружие[[#This Row],[CH]]</f>
        <v>0</v>
      </c>
      <c r="AP32" s="948">
        <f>Таблица_оружие[[#This Row],[EM]]*(1+Примерочная!$U$7*VLOOKUP(Примерочная!$V$2,Таблица_моды_оружие[],11,0))-Таблица_оружие[[#This Row],[EM]]</f>
        <v>0</v>
      </c>
    </row>
    <row r="33" spans="1:42" ht="33" customHeight="1" x14ac:dyDescent="0.25">
      <c r="A33" s="561" t="s">
        <v>81</v>
      </c>
      <c r="B33" s="722"/>
      <c r="C33" s="639">
        <v>20</v>
      </c>
      <c r="D33" s="639">
        <v>24</v>
      </c>
      <c r="E33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33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33" s="655">
        <f>SUM(Таблица_оружие[[#This Row],[урон макс.]]+Таблица_оружие[[#This Row],[урон мин.]])/2</f>
        <v>22</v>
      </c>
      <c r="H33" s="656">
        <f>SUM(Таблица_оружие[[#This Row],[урон макс.]]-Таблица_оружие[[#This Row],[урон мин.]])</f>
        <v>4</v>
      </c>
      <c r="I33" s="640">
        <v>6</v>
      </c>
      <c r="J33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33" s="727">
        <f>Таблица_оружие[[#This Row],[урон макс.]]*Таблица_оружие[[#This Row],[крит множ]]</f>
        <v>48</v>
      </c>
      <c r="L33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33" s="640">
        <v>75</v>
      </c>
      <c r="N33" s="657">
        <v>70</v>
      </c>
      <c r="O33" s="657">
        <v>65</v>
      </c>
      <c r="P33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33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33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33" s="640">
        <v>0</v>
      </c>
      <c r="T33" s="657">
        <v>0</v>
      </c>
      <c r="U33" s="657">
        <v>0</v>
      </c>
      <c r="V33" s="657">
        <v>5</v>
      </c>
      <c r="W33" s="657">
        <v>4</v>
      </c>
      <c r="X33" s="657">
        <v>4</v>
      </c>
      <c r="Y33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33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33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33" s="653">
        <v>19</v>
      </c>
      <c r="AC33" s="725">
        <f>(Примерочная!$U$7*VLOOKUP(Таблица_оружие[[#This Row],[название]],Таблица_моды_оружие[],11,0))</f>
        <v>0</v>
      </c>
      <c r="AD33" s="657"/>
      <c r="AE33" s="657"/>
      <c r="AF33" s="657"/>
      <c r="AG33" s="654"/>
      <c r="AH33" s="659">
        <v>2</v>
      </c>
      <c r="AI33" s="922">
        <f>Таблица_оружие[[#This Row],[крит множ]]+(Таблица_оружие[[#This Row],[крит множ]]*(Примерочная!$S$7*VLOOKUP(Примерочная!$V$2,Таблица_моды_оружие[],6,0)))</f>
        <v>2</v>
      </c>
      <c r="AJ33" s="931">
        <v>0.3</v>
      </c>
      <c r="AK33" s="360">
        <v>35</v>
      </c>
      <c r="AL33" s="360">
        <v>35</v>
      </c>
      <c r="AM33" s="559">
        <v>0</v>
      </c>
      <c r="AN33" s="938">
        <f>Таблица_оружие[[#This Row],[FH]]*(1+Примерочная!$U$7*VLOOKUP(Примерочная!$V$2,Таблица_моды_оружие[],11,0))-Таблица_оружие[[#This Row],[FH]]</f>
        <v>0</v>
      </c>
      <c r="AO33" s="918">
        <f>Таблица_оружие[[#This Row],[CH]]*(1+Примерочная!$U$7*VLOOKUP(Примерочная!$V$2,Таблица_моды_оружие[],11,0))-Таблица_оружие[[#This Row],[CH]]</f>
        <v>0</v>
      </c>
      <c r="AP33" s="948">
        <f>Таблица_оружие[[#This Row],[EM]]*(1+Примерочная!$U$7*VLOOKUP(Примерочная!$V$2,Таблица_моды_оружие[],11,0))-Таблица_оружие[[#This Row],[EM]]</f>
        <v>0</v>
      </c>
    </row>
    <row r="34" spans="1:42" ht="33" customHeight="1" x14ac:dyDescent="0.25">
      <c r="A34" s="561" t="s">
        <v>82</v>
      </c>
      <c r="B34" s="722"/>
      <c r="C34" s="639">
        <v>24</v>
      </c>
      <c r="D34" s="639">
        <v>27</v>
      </c>
      <c r="E34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34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34" s="655">
        <f>SUM(Таблица_оружие[[#This Row],[урон макс.]]+Таблица_оружие[[#This Row],[урон мин.]])/2</f>
        <v>25.5</v>
      </c>
      <c r="H34" s="656">
        <f>SUM(Таблица_оружие[[#This Row],[урон макс.]]-Таблица_оружие[[#This Row],[урон мин.]])</f>
        <v>3</v>
      </c>
      <c r="I34" s="640">
        <v>6</v>
      </c>
      <c r="J34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34" s="727">
        <f>Таблица_оружие[[#This Row],[урон макс.]]*Таблица_оружие[[#This Row],[крит множ]]</f>
        <v>54</v>
      </c>
      <c r="L34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34" s="640">
        <v>75</v>
      </c>
      <c r="N34" s="657">
        <v>70</v>
      </c>
      <c r="O34" s="657">
        <v>65</v>
      </c>
      <c r="P34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34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34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34" s="640">
        <v>0</v>
      </c>
      <c r="T34" s="657">
        <v>0</v>
      </c>
      <c r="U34" s="657">
        <v>0</v>
      </c>
      <c r="V34" s="657">
        <v>5</v>
      </c>
      <c r="W34" s="657">
        <v>4</v>
      </c>
      <c r="X34" s="657">
        <v>4</v>
      </c>
      <c r="Y34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34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34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34" s="653">
        <v>21</v>
      </c>
      <c r="AC34" s="725">
        <f>(Примерочная!$U$7*VLOOKUP(Таблица_оружие[[#This Row],[название]],Таблица_моды_оружие[],11,0))</f>
        <v>0</v>
      </c>
      <c r="AD34" s="657"/>
      <c r="AE34" s="657"/>
      <c r="AF34" s="657"/>
      <c r="AG34" s="654"/>
      <c r="AH34" s="659">
        <v>2</v>
      </c>
      <c r="AI34" s="922">
        <f>Таблица_оружие[[#This Row],[крит множ]]+(Таблица_оружие[[#This Row],[крит множ]]*(Примерочная!$S$7*VLOOKUP(Примерочная!$V$2,Таблица_моды_оружие[],6,0)))</f>
        <v>2</v>
      </c>
      <c r="AJ34" s="931">
        <v>0.3</v>
      </c>
      <c r="AK34" s="360">
        <v>35</v>
      </c>
      <c r="AL34" s="360">
        <v>35</v>
      </c>
      <c r="AM34" s="559">
        <v>0</v>
      </c>
      <c r="AN34" s="938">
        <f>Таблица_оружие[[#This Row],[FH]]*(1+Примерочная!$U$7*VLOOKUP(Примерочная!$V$2,Таблица_моды_оружие[],11,0))-Таблица_оружие[[#This Row],[FH]]</f>
        <v>0</v>
      </c>
      <c r="AO34" s="918">
        <f>Таблица_оружие[[#This Row],[CH]]*(1+Примерочная!$U$7*VLOOKUP(Примерочная!$V$2,Таблица_моды_оружие[],11,0))-Таблица_оружие[[#This Row],[CH]]</f>
        <v>0</v>
      </c>
      <c r="AP34" s="948">
        <f>Таблица_оружие[[#This Row],[EM]]*(1+Примерочная!$U$7*VLOOKUP(Примерочная!$V$2,Таблица_моды_оружие[],11,0))-Таблица_оружие[[#This Row],[EM]]</f>
        <v>0</v>
      </c>
    </row>
    <row r="35" spans="1:42" s="678" customFormat="1" ht="33" customHeight="1" x14ac:dyDescent="0.2">
      <c r="A35" s="561" t="s">
        <v>83</v>
      </c>
      <c r="B35" s="722"/>
      <c r="C35" s="639">
        <v>27</v>
      </c>
      <c r="D35" s="639">
        <v>30</v>
      </c>
      <c r="E35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35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35" s="655">
        <f>SUM(Таблица_оружие[[#This Row],[урон макс.]]+Таблица_оружие[[#This Row],[урон мин.]])/2</f>
        <v>28.5</v>
      </c>
      <c r="H35" s="656">
        <f>SUM(Таблица_оружие[[#This Row],[урон макс.]]-Таблица_оружие[[#This Row],[урон мин.]])</f>
        <v>3</v>
      </c>
      <c r="I35" s="640">
        <v>6</v>
      </c>
      <c r="J35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35" s="727">
        <f>Таблица_оружие[[#This Row],[урон макс.]]*Таблица_оружие[[#This Row],[крит множ]]</f>
        <v>60</v>
      </c>
      <c r="L35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35" s="640">
        <v>75</v>
      </c>
      <c r="N35" s="657">
        <v>70</v>
      </c>
      <c r="O35" s="657">
        <v>65</v>
      </c>
      <c r="P35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35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35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35" s="640">
        <v>0</v>
      </c>
      <c r="T35" s="657">
        <v>0</v>
      </c>
      <c r="U35" s="657">
        <v>0</v>
      </c>
      <c r="V35" s="657">
        <v>5</v>
      </c>
      <c r="W35" s="657">
        <v>4</v>
      </c>
      <c r="X35" s="657">
        <v>4</v>
      </c>
      <c r="Y35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35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35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35" s="653">
        <v>23</v>
      </c>
      <c r="AC35" s="725">
        <f>(Примерочная!$U$7*VLOOKUP(Таблица_оружие[[#This Row],[название]],Таблица_моды_оружие[],11,0))</f>
        <v>0</v>
      </c>
      <c r="AD35" s="657"/>
      <c r="AE35" s="657"/>
      <c r="AF35" s="657"/>
      <c r="AG35" s="654"/>
      <c r="AH35" s="659">
        <v>2</v>
      </c>
      <c r="AI35" s="922">
        <f>Таблица_оружие[[#This Row],[крит множ]]+(Таблица_оружие[[#This Row],[крит множ]]*(Примерочная!$S$7*VLOOKUP(Примерочная!$V$2,Таблица_моды_оружие[],6,0)))</f>
        <v>2</v>
      </c>
      <c r="AJ35" s="931">
        <v>0.3</v>
      </c>
      <c r="AK35" s="360">
        <v>35</v>
      </c>
      <c r="AL35" s="360">
        <v>35</v>
      </c>
      <c r="AM35" s="559">
        <v>0</v>
      </c>
      <c r="AN35" s="938">
        <f>Таблица_оружие[[#This Row],[FH]]*(1+Примерочная!$U$7*VLOOKUP(Примерочная!$V$2,Таблица_моды_оружие[],11,0))-Таблица_оружие[[#This Row],[FH]]</f>
        <v>0</v>
      </c>
      <c r="AO35" s="918">
        <f>Таблица_оружие[[#This Row],[CH]]*(1+Примерочная!$U$7*VLOOKUP(Примерочная!$V$2,Таблица_моды_оружие[],11,0))-Таблица_оружие[[#This Row],[CH]]</f>
        <v>0</v>
      </c>
      <c r="AP35" s="948">
        <f>Таблица_оружие[[#This Row],[EM]]*(1+Примерочная!$U$7*VLOOKUP(Примерочная!$V$2,Таблица_моды_оружие[],11,0))-Таблица_оружие[[#This Row],[EM]]</f>
        <v>0</v>
      </c>
    </row>
    <row r="36" spans="1:42" ht="33" customHeight="1" x14ac:dyDescent="0.25">
      <c r="A36" s="561" t="s">
        <v>84</v>
      </c>
      <c r="B36" s="722"/>
      <c r="C36" s="639">
        <v>31</v>
      </c>
      <c r="D36" s="639">
        <v>34</v>
      </c>
      <c r="E36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36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36" s="655">
        <f>SUM(Таблица_оружие[[#This Row],[урон макс.]]+Таблица_оружие[[#This Row],[урон мин.]])/2</f>
        <v>32.5</v>
      </c>
      <c r="H36" s="656">
        <f>SUM(Таблица_оружие[[#This Row],[урон макс.]]-Таблица_оружие[[#This Row],[урон мин.]])</f>
        <v>3</v>
      </c>
      <c r="I36" s="640">
        <v>6</v>
      </c>
      <c r="J36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36" s="727">
        <f>Таблица_оружие[[#This Row],[урон макс.]]*Таблица_оружие[[#This Row],[крит множ]]</f>
        <v>68</v>
      </c>
      <c r="L36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36" s="640">
        <v>75</v>
      </c>
      <c r="N36" s="657">
        <v>70</v>
      </c>
      <c r="O36" s="657">
        <v>65</v>
      </c>
      <c r="P36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36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36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36" s="640">
        <v>0</v>
      </c>
      <c r="T36" s="657">
        <v>0</v>
      </c>
      <c r="U36" s="657">
        <v>0</v>
      </c>
      <c r="V36" s="657">
        <v>5</v>
      </c>
      <c r="W36" s="657">
        <v>4</v>
      </c>
      <c r="X36" s="657">
        <v>4</v>
      </c>
      <c r="Y36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36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36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36" s="653">
        <v>25</v>
      </c>
      <c r="AC36" s="725">
        <f>(Примерочная!$U$7*VLOOKUP(Таблица_оружие[[#This Row],[название]],Таблица_моды_оружие[],11,0))</f>
        <v>0</v>
      </c>
      <c r="AD36" s="657"/>
      <c r="AE36" s="657"/>
      <c r="AF36" s="657"/>
      <c r="AG36" s="654"/>
      <c r="AH36" s="659">
        <v>2</v>
      </c>
      <c r="AI36" s="922">
        <f>Таблица_оружие[[#This Row],[крит множ]]+(Таблица_оружие[[#This Row],[крит множ]]*(Примерочная!$S$7*VLOOKUP(Примерочная!$V$2,Таблица_моды_оружие[],6,0)))</f>
        <v>2</v>
      </c>
      <c r="AJ36" s="931">
        <v>0.3</v>
      </c>
      <c r="AK36" s="360">
        <v>35</v>
      </c>
      <c r="AL36" s="360">
        <v>35</v>
      </c>
      <c r="AM36" s="559">
        <v>0</v>
      </c>
      <c r="AN36" s="938">
        <f>Таблица_оружие[[#This Row],[FH]]*(1+Примерочная!$U$7*VLOOKUP(Примерочная!$V$2,Таблица_моды_оружие[],11,0))-Таблица_оружие[[#This Row],[FH]]</f>
        <v>0</v>
      </c>
      <c r="AO36" s="918">
        <f>Таблица_оружие[[#This Row],[CH]]*(1+Примерочная!$U$7*VLOOKUP(Примерочная!$V$2,Таблица_моды_оружие[],11,0))-Таблица_оружие[[#This Row],[CH]]</f>
        <v>0</v>
      </c>
      <c r="AP36" s="948">
        <f>Таблица_оружие[[#This Row],[EM]]*(1+Примерочная!$U$7*VLOOKUP(Примерочная!$V$2,Таблица_моды_оружие[],11,0))-Таблица_оружие[[#This Row],[EM]]</f>
        <v>0</v>
      </c>
    </row>
    <row r="37" spans="1:42" ht="33" customHeight="1" x14ac:dyDescent="0.25">
      <c r="A37" s="561" t="s">
        <v>85</v>
      </c>
      <c r="B37" s="722"/>
      <c r="C37" s="639">
        <v>34</v>
      </c>
      <c r="D37" s="639">
        <v>37</v>
      </c>
      <c r="E37" s="602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37" s="601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37" s="655">
        <f>SUM(Таблица_оружие[[#This Row],[урон макс.]]+Таблица_оружие[[#This Row],[урон мин.]])/2</f>
        <v>35.5</v>
      </c>
      <c r="H37" s="656">
        <f>SUM(Таблица_оружие[[#This Row],[урон макс.]]-Таблица_оружие[[#This Row],[урон мин.]])</f>
        <v>3</v>
      </c>
      <c r="I37" s="640">
        <v>6</v>
      </c>
      <c r="J37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37" s="727">
        <f>Таблица_оружие[[#This Row],[урон макс.]]*Таблица_оружие[[#This Row],[крит множ]]</f>
        <v>74</v>
      </c>
      <c r="L37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37" s="640">
        <v>75</v>
      </c>
      <c r="N37" s="657">
        <v>70</v>
      </c>
      <c r="O37" s="657">
        <v>65</v>
      </c>
      <c r="P37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37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37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37" s="640">
        <v>0</v>
      </c>
      <c r="T37" s="657">
        <v>0</v>
      </c>
      <c r="U37" s="657">
        <v>0</v>
      </c>
      <c r="V37" s="657">
        <v>5</v>
      </c>
      <c r="W37" s="657">
        <v>4</v>
      </c>
      <c r="X37" s="657">
        <v>4</v>
      </c>
      <c r="Y37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37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37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37" s="653">
        <v>27</v>
      </c>
      <c r="AC37" s="725">
        <f>(Примерочная!$U$7*VLOOKUP(Таблица_оружие[[#This Row],[название]],Таблица_моды_оружие[],11,0))</f>
        <v>0</v>
      </c>
      <c r="AD37" s="657"/>
      <c r="AE37" s="657"/>
      <c r="AF37" s="657"/>
      <c r="AG37" s="654"/>
      <c r="AH37" s="659">
        <v>2</v>
      </c>
      <c r="AI37" s="922">
        <f>Таблица_оружие[[#This Row],[крит множ]]+(Таблица_оружие[[#This Row],[крит множ]]*(Примерочная!$S$7*VLOOKUP(Примерочная!$V$2,Таблица_моды_оружие[],6,0)))</f>
        <v>2</v>
      </c>
      <c r="AJ37" s="931">
        <v>0.3</v>
      </c>
      <c r="AK37" s="360">
        <v>35</v>
      </c>
      <c r="AL37" s="360">
        <v>35</v>
      </c>
      <c r="AM37" s="559">
        <v>0</v>
      </c>
      <c r="AN37" s="938">
        <f>Таблица_оружие[[#This Row],[FH]]*(1+Примерочная!$U$7*VLOOKUP(Примерочная!$V$2,Таблица_моды_оружие[],11,0))-Таблица_оружие[[#This Row],[FH]]</f>
        <v>0</v>
      </c>
      <c r="AO37" s="918">
        <f>Таблица_оружие[[#This Row],[CH]]*(1+Примерочная!$U$7*VLOOKUP(Примерочная!$V$2,Таблица_моды_оружие[],11,0))-Таблица_оружие[[#This Row],[CH]]</f>
        <v>0</v>
      </c>
      <c r="AP37" s="948">
        <f>Таблица_оружие[[#This Row],[EM]]*(1+Примерочная!$U$7*VLOOKUP(Примерочная!$V$2,Таблица_моды_оружие[],11,0))-Таблица_оружие[[#This Row],[EM]]</f>
        <v>0</v>
      </c>
    </row>
    <row r="38" spans="1:42" ht="33" customHeight="1" thickBot="1" x14ac:dyDescent="0.3">
      <c r="A38" s="742"/>
      <c r="B38" s="654"/>
      <c r="C38" s="732"/>
      <c r="D38" s="737"/>
      <c r="E38" s="715"/>
      <c r="F38" s="716"/>
      <c r="G38" s="655"/>
      <c r="H38" s="656"/>
      <c r="I38" s="647"/>
      <c r="J38" s="716"/>
      <c r="K38" s="732"/>
      <c r="L38" s="604"/>
      <c r="M38" s="641"/>
      <c r="N38" s="714"/>
      <c r="O38" s="714"/>
      <c r="P38" s="603"/>
      <c r="Q38" s="603"/>
      <c r="R38" s="604"/>
      <c r="S38" s="641"/>
      <c r="T38" s="714"/>
      <c r="U38" s="714"/>
      <c r="V38" s="714"/>
      <c r="W38" s="714"/>
      <c r="X38" s="714"/>
      <c r="Y38" s="715"/>
      <c r="Z38" s="715"/>
      <c r="AA38" s="716"/>
      <c r="AB38" s="653"/>
      <c r="AC38" s="657"/>
      <c r="AD38" s="657"/>
      <c r="AE38" s="657"/>
      <c r="AF38" s="657"/>
      <c r="AG38" s="654"/>
      <c r="AH38" s="706"/>
      <c r="AI38" s="924"/>
      <c r="AJ38" s="641"/>
      <c r="AK38" s="714"/>
      <c r="AL38" s="714"/>
      <c r="AM38" s="963"/>
      <c r="AN38" s="952"/>
      <c r="AO38" s="953"/>
      <c r="AP38" s="954"/>
    </row>
    <row r="39" spans="1:42" s="677" customFormat="1" ht="33" customHeight="1" thickBot="1" x14ac:dyDescent="0.3">
      <c r="A39" s="673" t="s">
        <v>248</v>
      </c>
      <c r="B39" s="679"/>
      <c r="C39" s="730"/>
      <c r="D39" s="730"/>
      <c r="E39" s="709"/>
      <c r="F39" s="709"/>
      <c r="G39" s="680"/>
      <c r="H39" s="681"/>
      <c r="I39" s="720"/>
      <c r="J39" s="709"/>
      <c r="K39" s="730"/>
      <c r="L39" s="717"/>
      <c r="M39" s="708"/>
      <c r="N39" s="708"/>
      <c r="O39" s="708"/>
      <c r="P39" s="717"/>
      <c r="Q39" s="717"/>
      <c r="R39" s="717"/>
      <c r="S39" s="708"/>
      <c r="T39" s="708"/>
      <c r="U39" s="708"/>
      <c r="V39" s="708"/>
      <c r="W39" s="708"/>
      <c r="X39" s="708"/>
      <c r="Y39" s="709"/>
      <c r="Z39" s="709"/>
      <c r="AA39" s="709"/>
      <c r="AB39" s="661"/>
      <c r="AC39" s="661"/>
      <c r="AD39" s="687"/>
      <c r="AE39" s="687"/>
      <c r="AF39" s="687"/>
      <c r="AG39" s="687"/>
      <c r="AH39" s="704"/>
      <c r="AI39" s="701"/>
      <c r="AJ39" s="932"/>
      <c r="AK39" s="685"/>
      <c r="AL39" s="685"/>
      <c r="AM39" s="740"/>
      <c r="AN39" s="956"/>
      <c r="AO39" s="957"/>
      <c r="AP39" s="958"/>
    </row>
    <row r="40" spans="1:42" s="702" customFormat="1" ht="33" customHeight="1" x14ac:dyDescent="0.25">
      <c r="A40" s="653"/>
      <c r="B40" s="654"/>
      <c r="C40" s="731"/>
      <c r="D40" s="736"/>
      <c r="E40" s="712"/>
      <c r="F40" s="713"/>
      <c r="G40" s="655"/>
      <c r="H40" s="656"/>
      <c r="I40" s="721"/>
      <c r="J40" s="713"/>
      <c r="K40" s="731"/>
      <c r="L40" s="719"/>
      <c r="M40" s="710"/>
      <c r="N40" s="711"/>
      <c r="O40" s="711"/>
      <c r="P40" s="718"/>
      <c r="Q40" s="718"/>
      <c r="R40" s="719"/>
      <c r="S40" s="710"/>
      <c r="T40" s="711"/>
      <c r="U40" s="711"/>
      <c r="V40" s="711"/>
      <c r="W40" s="711"/>
      <c r="X40" s="711"/>
      <c r="Y40" s="712"/>
      <c r="Z40" s="712"/>
      <c r="AA40" s="713"/>
      <c r="AB40" s="707"/>
      <c r="AC40" s="657"/>
      <c r="AD40" s="657"/>
      <c r="AE40" s="657"/>
      <c r="AF40" s="657"/>
      <c r="AG40" s="654"/>
      <c r="AH40" s="710"/>
      <c r="AI40" s="923"/>
      <c r="AJ40" s="710"/>
      <c r="AK40" s="964"/>
      <c r="AL40" s="711"/>
      <c r="AM40" s="959"/>
      <c r="AN40" s="960"/>
      <c r="AO40" s="961"/>
      <c r="AP40" s="962"/>
    </row>
    <row r="41" spans="1:42" ht="33" customHeight="1" x14ac:dyDescent="0.25">
      <c r="A41" s="561" t="s">
        <v>173</v>
      </c>
      <c r="B41" s="722"/>
      <c r="C41" s="639">
        <v>20</v>
      </c>
      <c r="D41" s="639">
        <v>22</v>
      </c>
      <c r="E41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41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41" s="655">
        <f>SUM(Таблица_оружие[[#This Row],[урон макс.]]+Таблица_оружие[[#This Row],[урон мин.]])/2</f>
        <v>21</v>
      </c>
      <c r="H41" s="656">
        <f>SUM(Таблица_оружие[[#This Row],[урон макс.]]-Таблица_оружие[[#This Row],[урон мин.]])</f>
        <v>2</v>
      </c>
      <c r="I41" s="640">
        <v>4</v>
      </c>
      <c r="J41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41" s="727">
        <f>Таблица_оружие[[#This Row],[урон макс.]]*Таблица_оружие[[#This Row],[крит множ]]</f>
        <v>26.4</v>
      </c>
      <c r="L41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41" s="640">
        <v>70</v>
      </c>
      <c r="N41" s="657"/>
      <c r="O41" s="657"/>
      <c r="P41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41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41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41" s="640">
        <v>0</v>
      </c>
      <c r="T41" s="657"/>
      <c r="U41" s="657"/>
      <c r="V41" s="657">
        <v>5.5</v>
      </c>
      <c r="W41" s="657"/>
      <c r="X41" s="657"/>
      <c r="Y41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41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41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41" s="653">
        <v>1</v>
      </c>
      <c r="AC41" s="725">
        <f>(Примерочная!$U$7*VLOOKUP(Таблица_оружие[[#This Row],[название]],Таблица_моды_оружие[],11,0))</f>
        <v>0</v>
      </c>
      <c r="AD41" s="657"/>
      <c r="AE41" s="657"/>
      <c r="AF41" s="657"/>
      <c r="AG41" s="654"/>
      <c r="AH41" s="640">
        <v>1.2</v>
      </c>
      <c r="AI41" s="922">
        <f>Таблица_оружие[[#This Row],[крит множ]]+(Таблица_оружие[[#This Row],[крит множ]]*(Примерочная!$S$7*VLOOKUP(Примерочная!$V$2,Таблица_моды_оружие[],6,0)))</f>
        <v>1.2</v>
      </c>
      <c r="AJ41" s="930">
        <v>0.3</v>
      </c>
      <c r="AK41" s="726">
        <v>70</v>
      </c>
      <c r="AL41" s="560">
        <v>70</v>
      </c>
      <c r="AM41" s="739">
        <v>0</v>
      </c>
      <c r="AN41" s="967">
        <f>Таблица_оружие[[#This Row],[FH]]*(1+Примерочная!$U$7*VLOOKUP(Примерочная!$V$2,Таблица_моды_оружие[],11,0))-Таблица_оружие[[#This Row],[FH]]</f>
        <v>0</v>
      </c>
      <c r="AO41" s="968">
        <f>Таблица_оружие[[#This Row],[CH]]*(1+Примерочная!$U$7*VLOOKUP(Примерочная!$V$2,Таблица_моды_оружие[],11,0))-Таблица_оружие[[#This Row],[CH]]</f>
        <v>0</v>
      </c>
      <c r="AP41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42" spans="1:42" ht="33" customHeight="1" x14ac:dyDescent="0.25">
      <c r="A42" s="561" t="s">
        <v>172</v>
      </c>
      <c r="B42" s="722"/>
      <c r="C42" s="639">
        <v>22.5</v>
      </c>
      <c r="D42" s="639">
        <v>24.9</v>
      </c>
      <c r="E42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42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42" s="655">
        <f>SUM(Таблица_оружие[[#This Row],[урон макс.]]+Таблица_оружие[[#This Row],[урон мин.]])/2</f>
        <v>23.7</v>
      </c>
      <c r="H42" s="656">
        <f>SUM(Таблица_оружие[[#This Row],[урон макс.]]-Таблица_оружие[[#This Row],[урон мин.]])</f>
        <v>2.3999999999999986</v>
      </c>
      <c r="I42" s="640">
        <v>4</v>
      </c>
      <c r="J42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42" s="727">
        <f>Таблица_оружие[[#This Row],[урон макс.]]*Таблица_оружие[[#This Row],[крит множ]]</f>
        <v>29.879999999999995</v>
      </c>
      <c r="L42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42" s="640">
        <v>70</v>
      </c>
      <c r="N42" s="657"/>
      <c r="O42" s="657"/>
      <c r="P42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42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42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42" s="640">
        <v>0</v>
      </c>
      <c r="T42" s="657"/>
      <c r="U42" s="657"/>
      <c r="V42" s="657">
        <v>5.5</v>
      </c>
      <c r="W42" s="657"/>
      <c r="X42" s="657"/>
      <c r="Y42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42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42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42" s="653">
        <v>7</v>
      </c>
      <c r="AC42" s="725">
        <f>(Примерочная!$U$7*VLOOKUP(Таблица_оружие[[#This Row],[название]],Таблица_моды_оружие[],11,0))</f>
        <v>0</v>
      </c>
      <c r="AD42" s="657">
        <v>1</v>
      </c>
      <c r="AE42" s="657"/>
      <c r="AF42" s="657"/>
      <c r="AG42" s="654"/>
      <c r="AH42" s="640">
        <v>1.2</v>
      </c>
      <c r="AI42" s="922">
        <f>Таблица_оружие[[#This Row],[крит множ]]+(Таблица_оружие[[#This Row],[крит множ]]*(Примерочная!$S$7*VLOOKUP(Примерочная!$V$2,Таблица_моды_оружие[],6,0)))</f>
        <v>1.2</v>
      </c>
      <c r="AJ42" s="931">
        <v>0.3</v>
      </c>
      <c r="AK42" s="561">
        <v>70</v>
      </c>
      <c r="AL42" s="360">
        <v>70</v>
      </c>
      <c r="AM42" s="559">
        <v>0</v>
      </c>
      <c r="AN42" s="967">
        <f>Таблица_оружие[[#This Row],[FH]]*(1+Примерочная!$U$7*VLOOKUP(Примерочная!$V$2,Таблица_моды_оружие[],11,0))-Таблица_оружие[[#This Row],[FH]]</f>
        <v>0</v>
      </c>
      <c r="AO42" s="968">
        <f>Таблица_оружие[[#This Row],[CH]]*(1+Примерочная!$U$7*VLOOKUP(Примерочная!$V$2,Таблица_моды_оружие[],11,0))-Таблица_оружие[[#This Row],[CH]]</f>
        <v>0</v>
      </c>
      <c r="AP42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43" spans="1:42" ht="33" customHeight="1" x14ac:dyDescent="0.25">
      <c r="A43" s="561" t="s">
        <v>174</v>
      </c>
      <c r="B43" s="722"/>
      <c r="C43" s="639">
        <v>26.2</v>
      </c>
      <c r="D43" s="639">
        <v>28.9</v>
      </c>
      <c r="E43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43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43" s="655">
        <f>SUM(Таблица_оружие[[#This Row],[урон макс.]]+Таблица_оружие[[#This Row],[урон мин.]])/2</f>
        <v>27.549999999999997</v>
      </c>
      <c r="H43" s="656">
        <f>SUM(Таблица_оружие[[#This Row],[урон макс.]]-Таблица_оружие[[#This Row],[урон мин.]])</f>
        <v>2.6999999999999993</v>
      </c>
      <c r="I43" s="640">
        <v>4</v>
      </c>
      <c r="J43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43" s="727">
        <f>Таблица_оружие[[#This Row],[урон макс.]]*Таблица_оружие[[#This Row],[крит множ]]</f>
        <v>34.68</v>
      </c>
      <c r="L43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43" s="640">
        <v>70</v>
      </c>
      <c r="N43" s="657"/>
      <c r="O43" s="657"/>
      <c r="P43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43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43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43" s="640">
        <v>0</v>
      </c>
      <c r="T43" s="657"/>
      <c r="U43" s="657"/>
      <c r="V43" s="657">
        <v>5.5</v>
      </c>
      <c r="W43" s="657"/>
      <c r="X43" s="657"/>
      <c r="Y43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43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43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43" s="653">
        <v>7</v>
      </c>
      <c r="AC43" s="725">
        <f>(Примерочная!$U$7*VLOOKUP(Таблица_оружие[[#This Row],[название]],Таблица_моды_оружие[],11,0))</f>
        <v>0</v>
      </c>
      <c r="AD43" s="657">
        <v>3</v>
      </c>
      <c r="AE43" s="657"/>
      <c r="AF43" s="657"/>
      <c r="AG43" s="654"/>
      <c r="AH43" s="640">
        <v>1.2</v>
      </c>
      <c r="AI43" s="922">
        <f>Таблица_оружие[[#This Row],[крит множ]]+(Таблица_оружие[[#This Row],[крит множ]]*(Примерочная!$S$7*VLOOKUP(Примерочная!$V$2,Таблица_моды_оружие[],6,0)))</f>
        <v>1.2</v>
      </c>
      <c r="AJ43" s="930">
        <v>0.3</v>
      </c>
      <c r="AK43" s="726">
        <v>70</v>
      </c>
      <c r="AL43" s="560">
        <v>70</v>
      </c>
      <c r="AM43" s="739">
        <v>0</v>
      </c>
      <c r="AN43" s="967">
        <f>Таблица_оружие[[#This Row],[FH]]*(1+Примерочная!$U$7*VLOOKUP(Примерочная!$V$2,Таблица_моды_оружие[],11,0))-Таблица_оружие[[#This Row],[FH]]</f>
        <v>0</v>
      </c>
      <c r="AO43" s="968">
        <f>Таблица_оружие[[#This Row],[CH]]*(1+Примерочная!$U$7*VLOOKUP(Примерочная!$V$2,Таблица_моды_оружие[],11,0))-Таблица_оружие[[#This Row],[CH]]</f>
        <v>0</v>
      </c>
      <c r="AP43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44" spans="1:42" ht="33" customHeight="1" x14ac:dyDescent="0.25">
      <c r="A44" s="561" t="s">
        <v>175</v>
      </c>
      <c r="B44" s="722"/>
      <c r="C44" s="639">
        <v>30</v>
      </c>
      <c r="D44" s="639">
        <v>33</v>
      </c>
      <c r="E44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44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44" s="655">
        <f>SUM(Таблица_оружие[[#This Row],[урон макс.]]+Таблица_оружие[[#This Row],[урон мин.]])/2</f>
        <v>31.5</v>
      </c>
      <c r="H44" s="656">
        <f>SUM(Таблица_оружие[[#This Row],[урон макс.]]-Таблица_оружие[[#This Row],[урон мин.]])</f>
        <v>3</v>
      </c>
      <c r="I44" s="640">
        <v>4</v>
      </c>
      <c r="J44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44" s="727">
        <f>Таблица_оружие[[#This Row],[урон макс.]]*Таблица_оружие[[#This Row],[крит множ]]</f>
        <v>39.6</v>
      </c>
      <c r="L44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44" s="640">
        <v>70</v>
      </c>
      <c r="N44" s="657"/>
      <c r="O44" s="657"/>
      <c r="P44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44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44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44" s="640">
        <v>0</v>
      </c>
      <c r="T44" s="657"/>
      <c r="U44" s="657"/>
      <c r="V44" s="657">
        <v>5.5</v>
      </c>
      <c r="W44" s="657"/>
      <c r="X44" s="657"/>
      <c r="Y44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44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44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44" s="653">
        <v>7</v>
      </c>
      <c r="AC44" s="725">
        <f>(Примерочная!$U$7*VLOOKUP(Таблица_оружие[[#This Row],[название]],Таблица_моды_оружие[],11,0))</f>
        <v>0</v>
      </c>
      <c r="AD44" s="657">
        <v>7</v>
      </c>
      <c r="AE44" s="657"/>
      <c r="AF44" s="657"/>
      <c r="AG44" s="654"/>
      <c r="AH44" s="640">
        <v>1.2</v>
      </c>
      <c r="AI44" s="922">
        <f>Таблица_оружие[[#This Row],[крит множ]]+(Таблица_оружие[[#This Row],[крит множ]]*(Примерочная!$S$7*VLOOKUP(Примерочная!$V$2,Таблица_моды_оружие[],6,0)))</f>
        <v>1.2</v>
      </c>
      <c r="AJ44" s="931">
        <v>0.3</v>
      </c>
      <c r="AK44" s="561">
        <v>70</v>
      </c>
      <c r="AL44" s="360">
        <v>70</v>
      </c>
      <c r="AM44" s="559">
        <v>0</v>
      </c>
      <c r="AN44" s="967">
        <f>Таблица_оружие[[#This Row],[FH]]*(1+Примерочная!$U$7*VLOOKUP(Примерочная!$V$2,Таблица_моды_оружие[],11,0))-Таблица_оружие[[#This Row],[FH]]</f>
        <v>0</v>
      </c>
      <c r="AO44" s="968">
        <f>Таблица_оружие[[#This Row],[CH]]*(1+Примерочная!$U$7*VLOOKUP(Примерочная!$V$2,Таблица_моды_оружие[],11,0))-Таблица_оружие[[#This Row],[CH]]</f>
        <v>0</v>
      </c>
      <c r="AP44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45" spans="1:42" ht="33" customHeight="1" x14ac:dyDescent="0.25">
      <c r="A45" s="561" t="s">
        <v>176</v>
      </c>
      <c r="B45" s="722"/>
      <c r="C45" s="639">
        <v>31.2</v>
      </c>
      <c r="D45" s="639">
        <v>34.4</v>
      </c>
      <c r="E45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45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45" s="655">
        <f>SUM(Таблица_оружие[[#This Row],[урон макс.]]+Таблица_оружие[[#This Row],[урон мин.]])/2</f>
        <v>32.799999999999997</v>
      </c>
      <c r="H45" s="656">
        <f>SUM(Таблица_оружие[[#This Row],[урон макс.]]-Таблица_оружие[[#This Row],[урон мин.]])</f>
        <v>3.1999999999999993</v>
      </c>
      <c r="I45" s="640">
        <v>4</v>
      </c>
      <c r="J45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45" s="727">
        <f>Таблица_оружие[[#This Row],[урон макс.]]*Таблица_оружие[[#This Row],[крит множ]]</f>
        <v>41.279999999999994</v>
      </c>
      <c r="L45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45" s="640">
        <v>70</v>
      </c>
      <c r="N45" s="657"/>
      <c r="O45" s="657"/>
      <c r="P45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45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45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45" s="640">
        <v>0</v>
      </c>
      <c r="T45" s="657"/>
      <c r="U45" s="657"/>
      <c r="V45" s="657">
        <v>5.5</v>
      </c>
      <c r="W45" s="657"/>
      <c r="X45" s="657"/>
      <c r="Y45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45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45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45" s="653">
        <v>7</v>
      </c>
      <c r="AC45" s="725">
        <f>(Примерочная!$U$7*VLOOKUP(Таблица_оружие[[#This Row],[название]],Таблица_моды_оружие[],11,0))</f>
        <v>0</v>
      </c>
      <c r="AD45" s="657">
        <v>10</v>
      </c>
      <c r="AE45" s="657"/>
      <c r="AF45" s="657"/>
      <c r="AG45" s="654"/>
      <c r="AH45" s="640">
        <v>1.2</v>
      </c>
      <c r="AI45" s="922">
        <f>Таблица_оружие[[#This Row],[крит множ]]+(Таблица_оружие[[#This Row],[крит множ]]*(Примерочная!$S$7*VLOOKUP(Примерочная!$V$2,Таблица_моды_оружие[],6,0)))</f>
        <v>1.2</v>
      </c>
      <c r="AJ45" s="930">
        <v>0.3</v>
      </c>
      <c r="AK45" s="726">
        <v>70</v>
      </c>
      <c r="AL45" s="560">
        <v>70</v>
      </c>
      <c r="AM45" s="739">
        <v>0</v>
      </c>
      <c r="AN45" s="967">
        <f>Таблица_оружие[[#This Row],[FH]]*(1+Примерочная!$U$7*VLOOKUP(Примерочная!$V$2,Таблица_моды_оружие[],11,0))-Таблица_оружие[[#This Row],[FH]]</f>
        <v>0</v>
      </c>
      <c r="AO45" s="968">
        <f>Таблица_оружие[[#This Row],[CH]]*(1+Примерочная!$U$7*VLOOKUP(Примерочная!$V$2,Таблица_моды_оружие[],11,0))-Таблица_оружие[[#This Row],[CH]]</f>
        <v>0</v>
      </c>
      <c r="AP45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46" spans="1:42" ht="33" customHeight="1" x14ac:dyDescent="0.25">
      <c r="A46" s="561" t="s">
        <v>177</v>
      </c>
      <c r="B46" s="722"/>
      <c r="C46" s="639">
        <v>34.6</v>
      </c>
      <c r="D46" s="639">
        <v>38.1</v>
      </c>
      <c r="E46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46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46" s="655">
        <f>SUM(Таблица_оружие[[#This Row],[урон макс.]]+Таблица_оружие[[#This Row],[урон мин.]])/2</f>
        <v>36.35</v>
      </c>
      <c r="H46" s="656">
        <f>SUM(Таблица_оружие[[#This Row],[урон макс.]]-Таблица_оружие[[#This Row],[урон мин.]])</f>
        <v>3.5</v>
      </c>
      <c r="I46" s="640">
        <v>4</v>
      </c>
      <c r="J46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46" s="727">
        <f>Таблица_оружие[[#This Row],[урон макс.]]*Таблица_оружие[[#This Row],[крит множ]]</f>
        <v>45.72</v>
      </c>
      <c r="L46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46" s="640">
        <v>70</v>
      </c>
      <c r="N46" s="657"/>
      <c r="O46" s="657"/>
      <c r="P46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46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46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46" s="640">
        <v>0</v>
      </c>
      <c r="T46" s="657"/>
      <c r="U46" s="657"/>
      <c r="V46" s="657">
        <v>5.5</v>
      </c>
      <c r="W46" s="657"/>
      <c r="X46" s="657"/>
      <c r="Y46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46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46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46" s="653">
        <v>7</v>
      </c>
      <c r="AC46" s="725">
        <f>(Примерочная!$U$7*VLOOKUP(Таблица_оружие[[#This Row],[название]],Таблица_моды_оружие[],11,0))</f>
        <v>0</v>
      </c>
      <c r="AD46" s="657">
        <v>14</v>
      </c>
      <c r="AE46" s="657"/>
      <c r="AF46" s="657"/>
      <c r="AG46" s="654"/>
      <c r="AH46" s="640">
        <v>1.2</v>
      </c>
      <c r="AI46" s="922">
        <f>Таблица_оружие[[#This Row],[крит множ]]+(Таблица_оружие[[#This Row],[крит множ]]*(Примерочная!$S$7*VLOOKUP(Примерочная!$V$2,Таблица_моды_оружие[],6,0)))</f>
        <v>1.2</v>
      </c>
      <c r="AJ46" s="931">
        <v>0.3</v>
      </c>
      <c r="AK46" s="561">
        <v>70</v>
      </c>
      <c r="AL46" s="360">
        <v>70</v>
      </c>
      <c r="AM46" s="559">
        <v>0</v>
      </c>
      <c r="AN46" s="967">
        <f>Таблица_оружие[[#This Row],[FH]]*(1+Примерочная!$U$7*VLOOKUP(Примерочная!$V$2,Таблица_моды_оружие[],11,0))-Таблица_оружие[[#This Row],[FH]]</f>
        <v>0</v>
      </c>
      <c r="AO46" s="968">
        <f>Таблица_оружие[[#This Row],[CH]]*(1+Примерочная!$U$7*VLOOKUP(Примерочная!$V$2,Таблица_моды_оружие[],11,0))-Таблица_оружие[[#This Row],[CH]]</f>
        <v>0</v>
      </c>
      <c r="AP46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47" spans="1:42" ht="33" customHeight="1" x14ac:dyDescent="0.25">
      <c r="A47" s="561" t="s">
        <v>178</v>
      </c>
      <c r="B47" s="722"/>
      <c r="C47" s="639">
        <v>38.799999999999997</v>
      </c>
      <c r="D47" s="639">
        <v>42.7</v>
      </c>
      <c r="E47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47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47" s="655">
        <f>SUM(Таблица_оружие[[#This Row],[урон макс.]]+Таблица_оружие[[#This Row],[урон мин.]])/2</f>
        <v>40.75</v>
      </c>
      <c r="H47" s="656">
        <f>SUM(Таблица_оружие[[#This Row],[урон макс.]]-Таблица_оружие[[#This Row],[урон мин.]])</f>
        <v>3.9000000000000057</v>
      </c>
      <c r="I47" s="640">
        <v>4</v>
      </c>
      <c r="J47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47" s="727">
        <f>Таблица_оружие[[#This Row],[урон макс.]]*Таблица_оружие[[#This Row],[крит множ]]</f>
        <v>51.24</v>
      </c>
      <c r="L47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47" s="640">
        <v>70</v>
      </c>
      <c r="N47" s="657"/>
      <c r="O47" s="657"/>
      <c r="P47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47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47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47" s="640">
        <v>0</v>
      </c>
      <c r="T47" s="657"/>
      <c r="U47" s="657"/>
      <c r="V47" s="657">
        <v>5.5</v>
      </c>
      <c r="W47" s="657"/>
      <c r="X47" s="657"/>
      <c r="Y47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47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47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47" s="653">
        <v>7</v>
      </c>
      <c r="AC47" s="725">
        <f>(Примерочная!$U$7*VLOOKUP(Таблица_оружие[[#This Row],[название]],Таблица_моды_оружие[],11,0))</f>
        <v>0</v>
      </c>
      <c r="AD47" s="657">
        <v>17</v>
      </c>
      <c r="AE47" s="657"/>
      <c r="AF47" s="657"/>
      <c r="AG47" s="654"/>
      <c r="AH47" s="640">
        <v>1.2</v>
      </c>
      <c r="AI47" s="922">
        <f>Таблица_оружие[[#This Row],[крит множ]]+(Таблица_оружие[[#This Row],[крит множ]]*(Примерочная!$S$7*VLOOKUP(Примерочная!$V$2,Таблица_моды_оружие[],6,0)))</f>
        <v>1.2</v>
      </c>
      <c r="AJ47" s="930">
        <v>0.3</v>
      </c>
      <c r="AK47" s="726">
        <v>70</v>
      </c>
      <c r="AL47" s="560">
        <v>70</v>
      </c>
      <c r="AM47" s="739">
        <v>0</v>
      </c>
      <c r="AN47" s="967">
        <f>Таблица_оружие[[#This Row],[FH]]*(1+Примерочная!$U$7*VLOOKUP(Примерочная!$V$2,Таблица_моды_оружие[],11,0))-Таблица_оружие[[#This Row],[FH]]</f>
        <v>0</v>
      </c>
      <c r="AO47" s="968">
        <f>Таблица_оружие[[#This Row],[CH]]*(1+Примерочная!$U$7*VLOOKUP(Примерочная!$V$2,Таблица_моды_оружие[],11,0))-Таблица_оружие[[#This Row],[CH]]</f>
        <v>0</v>
      </c>
      <c r="AP47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48" spans="1:42" ht="33" customHeight="1" x14ac:dyDescent="0.25">
      <c r="A48" s="561" t="s">
        <v>179</v>
      </c>
      <c r="B48" s="722"/>
      <c r="C48" s="639">
        <v>42</v>
      </c>
      <c r="D48" s="639">
        <v>46.2</v>
      </c>
      <c r="E48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48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48" s="655">
        <f>SUM(Таблица_оружие[[#This Row],[урон макс.]]+Таблица_оружие[[#This Row],[урон мин.]])/2</f>
        <v>44.1</v>
      </c>
      <c r="H48" s="656">
        <f>SUM(Таблица_оружие[[#This Row],[урон макс.]]-Таблица_оружие[[#This Row],[урон мин.]])</f>
        <v>4.2000000000000028</v>
      </c>
      <c r="I48" s="640">
        <v>4</v>
      </c>
      <c r="J48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48" s="727">
        <f>Таблица_оружие[[#This Row],[урон макс.]]*Таблица_оружие[[#This Row],[крит множ]]</f>
        <v>55.440000000000005</v>
      </c>
      <c r="L48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48" s="640">
        <v>70</v>
      </c>
      <c r="N48" s="657">
        <v>60</v>
      </c>
      <c r="O48" s="657"/>
      <c r="P48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48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48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48" s="640">
        <v>0</v>
      </c>
      <c r="T48" s="657">
        <v>0</v>
      </c>
      <c r="U48" s="657"/>
      <c r="V48" s="657">
        <v>5.5</v>
      </c>
      <c r="W48" s="657">
        <v>4.5</v>
      </c>
      <c r="X48" s="657"/>
      <c r="Y48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48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48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48" s="653">
        <v>7</v>
      </c>
      <c r="AC48" s="725">
        <f>(Примерочная!$U$7*VLOOKUP(Таблица_оружие[[#This Row],[название]],Таблица_моды_оружие[],11,0))</f>
        <v>0</v>
      </c>
      <c r="AD48" s="657">
        <v>19</v>
      </c>
      <c r="AE48" s="657"/>
      <c r="AF48" s="657"/>
      <c r="AG48" s="654"/>
      <c r="AH48" s="640">
        <v>1.2</v>
      </c>
      <c r="AI48" s="922">
        <f>Таблица_оружие[[#This Row],[крит множ]]+(Таблица_оружие[[#This Row],[крит множ]]*(Примерочная!$S$7*VLOOKUP(Примерочная!$V$2,Таблица_моды_оружие[],6,0)))</f>
        <v>1.2</v>
      </c>
      <c r="AJ48" s="931">
        <v>0.3</v>
      </c>
      <c r="AK48" s="561">
        <v>70</v>
      </c>
      <c r="AL48" s="360">
        <v>70</v>
      </c>
      <c r="AM48" s="559">
        <v>0</v>
      </c>
      <c r="AN48" s="967">
        <f>Таблица_оружие[[#This Row],[FH]]*(1+Примерочная!$U$7*VLOOKUP(Примерочная!$V$2,Таблица_моды_оружие[],11,0))-Таблица_оружие[[#This Row],[FH]]</f>
        <v>0</v>
      </c>
      <c r="AO48" s="968">
        <f>Таблица_оружие[[#This Row],[CH]]*(1+Примерочная!$U$7*VLOOKUP(Примерочная!$V$2,Таблица_моды_оружие[],11,0))-Таблица_оружие[[#This Row],[CH]]</f>
        <v>0</v>
      </c>
      <c r="AP48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49" spans="1:42" ht="33" customHeight="1" x14ac:dyDescent="0.25">
      <c r="A49" s="561" t="s">
        <v>180</v>
      </c>
      <c r="B49" s="722"/>
      <c r="C49" s="639">
        <v>40</v>
      </c>
      <c r="D49" s="639">
        <v>49.5</v>
      </c>
      <c r="E49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49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49" s="655">
        <f>SUM(Таблица_оружие[[#This Row],[урон макс.]]+Таблица_оружие[[#This Row],[урон мин.]])/2</f>
        <v>44.75</v>
      </c>
      <c r="H49" s="656">
        <f>SUM(Таблица_оружие[[#This Row],[урон макс.]]-Таблица_оружие[[#This Row],[урон мин.]])</f>
        <v>9.5</v>
      </c>
      <c r="I49" s="640">
        <v>4</v>
      </c>
      <c r="J49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49" s="727">
        <f>Таблица_оружие[[#This Row],[урон макс.]]*Таблица_оружие[[#This Row],[крит множ]]</f>
        <v>59.4</v>
      </c>
      <c r="L49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49" s="640">
        <v>70</v>
      </c>
      <c r="N49" s="657">
        <v>60</v>
      </c>
      <c r="O49" s="657"/>
      <c r="P49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49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49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49" s="640">
        <v>0</v>
      </c>
      <c r="T49" s="657">
        <v>0</v>
      </c>
      <c r="U49" s="657"/>
      <c r="V49" s="657">
        <v>5.5</v>
      </c>
      <c r="W49" s="657">
        <v>4.5</v>
      </c>
      <c r="X49" s="657"/>
      <c r="Y49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49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49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49" s="653">
        <v>7</v>
      </c>
      <c r="AC49" s="725">
        <f>(Примерочная!$U$7*VLOOKUP(Таблица_оружие[[#This Row],[название]],Таблица_моды_оружие[],11,0))</f>
        <v>0</v>
      </c>
      <c r="AD49" s="657">
        <v>21</v>
      </c>
      <c r="AE49" s="657"/>
      <c r="AF49" s="657"/>
      <c r="AG49" s="654"/>
      <c r="AH49" s="640">
        <v>1.2</v>
      </c>
      <c r="AI49" s="922">
        <f>Таблица_оружие[[#This Row],[крит множ]]+(Таблица_оружие[[#This Row],[крит множ]]*(Примерочная!$S$7*VLOOKUP(Примерочная!$V$2,Таблица_моды_оружие[],6,0)))</f>
        <v>1.2</v>
      </c>
      <c r="AJ49" s="930">
        <v>0.3</v>
      </c>
      <c r="AK49" s="726">
        <v>70</v>
      </c>
      <c r="AL49" s="560">
        <v>70</v>
      </c>
      <c r="AM49" s="739">
        <v>0</v>
      </c>
      <c r="AN49" s="967">
        <f>Таблица_оружие[[#This Row],[FH]]*(1+Примерочная!$U$7*VLOOKUP(Примерочная!$V$2,Таблица_моды_оружие[],11,0))-Таблица_оружие[[#This Row],[FH]]</f>
        <v>0</v>
      </c>
      <c r="AO49" s="968">
        <f>Таблица_оружие[[#This Row],[CH]]*(1+Примерочная!$U$7*VLOOKUP(Примерочная!$V$2,Таблица_моды_оружие[],11,0))-Таблица_оружие[[#This Row],[CH]]</f>
        <v>0</v>
      </c>
      <c r="AP49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50" spans="1:42" ht="33" customHeight="1" x14ac:dyDescent="0.25">
      <c r="A50" s="561" t="s">
        <v>181</v>
      </c>
      <c r="B50" s="722"/>
      <c r="C50" s="639">
        <v>48</v>
      </c>
      <c r="D50" s="639">
        <v>52</v>
      </c>
      <c r="E50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50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50" s="655">
        <f>SUM(Таблица_оружие[[#This Row],[урон макс.]]+Таблица_оружие[[#This Row],[урон мин.]])/2</f>
        <v>50</v>
      </c>
      <c r="H50" s="656">
        <f>SUM(Таблица_оружие[[#This Row],[урон макс.]]-Таблица_оружие[[#This Row],[урон мин.]])</f>
        <v>4</v>
      </c>
      <c r="I50" s="640">
        <v>4</v>
      </c>
      <c r="J50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50" s="727">
        <f>Таблица_оружие[[#This Row],[урон макс.]]*Таблица_оружие[[#This Row],[крит множ]]</f>
        <v>62.4</v>
      </c>
      <c r="L50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50" s="640">
        <v>70</v>
      </c>
      <c r="N50" s="657">
        <v>60</v>
      </c>
      <c r="O50" s="657"/>
      <c r="P50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50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50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50" s="640">
        <v>0</v>
      </c>
      <c r="T50" s="657">
        <v>0</v>
      </c>
      <c r="U50" s="657"/>
      <c r="V50" s="657">
        <v>5.5</v>
      </c>
      <c r="W50" s="657">
        <v>4.5</v>
      </c>
      <c r="X50" s="657"/>
      <c r="Y50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50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50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50" s="653">
        <v>7</v>
      </c>
      <c r="AC50" s="725">
        <f>(Примерочная!$U$7*VLOOKUP(Таблица_оружие[[#This Row],[название]],Таблица_моды_оружие[],11,0))</f>
        <v>0</v>
      </c>
      <c r="AD50" s="657">
        <v>23</v>
      </c>
      <c r="AE50" s="657"/>
      <c r="AF50" s="657"/>
      <c r="AG50" s="654"/>
      <c r="AH50" s="640">
        <v>1.2</v>
      </c>
      <c r="AI50" s="922">
        <f>Таблица_оружие[[#This Row],[крит множ]]+(Таблица_оружие[[#This Row],[крит множ]]*(Примерочная!$S$7*VLOOKUP(Примерочная!$V$2,Таблица_моды_оружие[],6,0)))</f>
        <v>1.2</v>
      </c>
      <c r="AJ50" s="931">
        <v>0.3</v>
      </c>
      <c r="AK50" s="561">
        <v>70</v>
      </c>
      <c r="AL50" s="360">
        <v>70</v>
      </c>
      <c r="AM50" s="559">
        <v>0</v>
      </c>
      <c r="AN50" s="967">
        <f>Таблица_оружие[[#This Row],[FH]]*(1+Примерочная!$U$7*VLOOKUP(Примерочная!$V$2,Таблица_моды_оружие[],11,0))-Таблица_оружие[[#This Row],[FH]]</f>
        <v>0</v>
      </c>
      <c r="AO50" s="968">
        <f>Таблица_оружие[[#This Row],[CH]]*(1+Примерочная!$U$7*VLOOKUP(Примерочная!$V$2,Таблица_моды_оружие[],11,0))-Таблица_оружие[[#This Row],[CH]]</f>
        <v>0</v>
      </c>
      <c r="AP50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51" spans="1:42" s="678" customFormat="1" ht="33" customHeight="1" x14ac:dyDescent="0.2">
      <c r="A51" s="561" t="s">
        <v>317</v>
      </c>
      <c r="B51" s="722"/>
      <c r="C51" s="639">
        <v>51.5</v>
      </c>
      <c r="D51" s="639">
        <v>56.7</v>
      </c>
      <c r="E51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51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51" s="655">
        <f>SUM(Таблица_оружие[[#This Row],[урон макс.]]+Таблица_оружие[[#This Row],[урон мин.]])/2</f>
        <v>54.1</v>
      </c>
      <c r="H51" s="656">
        <f>SUM(Таблица_оружие[[#This Row],[урон макс.]]-Таблица_оружие[[#This Row],[урон мин.]])</f>
        <v>5.2000000000000028</v>
      </c>
      <c r="I51" s="640">
        <v>4</v>
      </c>
      <c r="J51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51" s="727">
        <f>Таблица_оружие[[#This Row],[урон макс.]]*Таблица_оружие[[#This Row],[крит множ]]</f>
        <v>68.040000000000006</v>
      </c>
      <c r="L51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51" s="640">
        <v>70</v>
      </c>
      <c r="N51" s="657">
        <v>60</v>
      </c>
      <c r="O51" s="657"/>
      <c r="P51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51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51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51" s="640">
        <v>0</v>
      </c>
      <c r="T51" s="657">
        <v>0</v>
      </c>
      <c r="U51" s="657"/>
      <c r="V51" s="657">
        <v>5.5</v>
      </c>
      <c r="W51" s="657">
        <v>4.5</v>
      </c>
      <c r="X51" s="657"/>
      <c r="Y51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51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51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51" s="653">
        <v>7</v>
      </c>
      <c r="AC51" s="725">
        <f>(Примерочная!$U$7*VLOOKUP(Таблица_оружие[[#This Row],[название]],Таблица_моды_оружие[],11,0))</f>
        <v>0</v>
      </c>
      <c r="AD51" s="657">
        <v>25</v>
      </c>
      <c r="AE51" s="657"/>
      <c r="AF51" s="657"/>
      <c r="AG51" s="654"/>
      <c r="AH51" s="640">
        <v>1.2</v>
      </c>
      <c r="AI51" s="922">
        <f>Таблица_оружие[[#This Row],[крит множ]]+(Таблица_оружие[[#This Row],[крит множ]]*(Примерочная!$S$7*VLOOKUP(Примерочная!$V$2,Таблица_моды_оружие[],6,0)))</f>
        <v>1.2</v>
      </c>
      <c r="AJ51" s="930">
        <v>0.3</v>
      </c>
      <c r="AK51" s="726">
        <v>70</v>
      </c>
      <c r="AL51" s="560">
        <v>70</v>
      </c>
      <c r="AM51" s="739">
        <v>0</v>
      </c>
      <c r="AN51" s="967">
        <f>Таблица_оружие[[#This Row],[FH]]*(1+Примерочная!$U$7*VLOOKUP(Примерочная!$V$2,Таблица_моды_оружие[],11,0))-Таблица_оружие[[#This Row],[FH]]</f>
        <v>0</v>
      </c>
      <c r="AO51" s="968">
        <f>Таблица_оружие[[#This Row],[CH]]*(1+Примерочная!$U$7*VLOOKUP(Примерочная!$V$2,Таблица_моды_оружие[],11,0))-Таблица_оружие[[#This Row],[CH]]</f>
        <v>0</v>
      </c>
      <c r="AP51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52" spans="1:42" ht="33" customHeight="1" x14ac:dyDescent="0.25">
      <c r="A52" s="561" t="s">
        <v>318</v>
      </c>
      <c r="B52" s="722"/>
      <c r="C52" s="639">
        <v>54.3</v>
      </c>
      <c r="D52" s="639">
        <v>59.7</v>
      </c>
      <c r="E52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52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52" s="655">
        <f>SUM(Таблица_оружие[[#This Row],[урон макс.]]+Таблица_оружие[[#This Row],[урон мин.]])/2</f>
        <v>57</v>
      </c>
      <c r="H52" s="656">
        <f>SUM(Таблица_оружие[[#This Row],[урон макс.]]-Таблица_оружие[[#This Row],[урон мин.]])</f>
        <v>5.4000000000000057</v>
      </c>
      <c r="I52" s="640">
        <v>4</v>
      </c>
      <c r="J52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52" s="727">
        <f>Таблица_оружие[[#This Row],[урон макс.]]*Таблица_оружие[[#This Row],[крит множ]]</f>
        <v>71.64</v>
      </c>
      <c r="L52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52" s="640">
        <v>70</v>
      </c>
      <c r="N52" s="657">
        <v>60</v>
      </c>
      <c r="O52" s="657"/>
      <c r="P52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52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52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52" s="640">
        <v>0</v>
      </c>
      <c r="T52" s="657">
        <v>0</v>
      </c>
      <c r="U52" s="657"/>
      <c r="V52" s="657">
        <v>5.5</v>
      </c>
      <c r="W52" s="657">
        <v>4.5</v>
      </c>
      <c r="X52" s="657"/>
      <c r="Y52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52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52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52" s="653">
        <v>7</v>
      </c>
      <c r="AC52" s="725">
        <f>(Примерочная!$U$7*VLOOKUP(Таблица_оружие[[#This Row],[название]],Таблица_моды_оружие[],11,0))</f>
        <v>0</v>
      </c>
      <c r="AD52" s="657">
        <v>29</v>
      </c>
      <c r="AE52" s="657"/>
      <c r="AF52" s="657"/>
      <c r="AG52" s="654"/>
      <c r="AH52" s="640">
        <v>1.2</v>
      </c>
      <c r="AI52" s="922">
        <f>Таблица_оружие[[#This Row],[крит множ]]+(Таблица_оружие[[#This Row],[крит множ]]*(Примерочная!$S$7*VLOOKUP(Примерочная!$V$2,Таблица_моды_оружие[],6,0)))</f>
        <v>1.2</v>
      </c>
      <c r="AJ52" s="931">
        <v>0.3</v>
      </c>
      <c r="AK52" s="561">
        <v>70</v>
      </c>
      <c r="AL52" s="360">
        <v>70</v>
      </c>
      <c r="AM52" s="559">
        <v>0</v>
      </c>
      <c r="AN52" s="967">
        <f>Таблица_оружие[[#This Row],[FH]]*(1+Примерочная!$U$7*VLOOKUP(Примерочная!$V$2,Таблица_моды_оружие[],11,0))-Таблица_оружие[[#This Row],[FH]]</f>
        <v>0</v>
      </c>
      <c r="AO52" s="968">
        <f>Таблица_оружие[[#This Row],[CH]]*(1+Примерочная!$U$7*VLOOKUP(Примерочная!$V$2,Таблица_моды_оружие[],11,0))-Таблица_оружие[[#This Row],[CH]]</f>
        <v>0</v>
      </c>
      <c r="AP52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53" spans="1:42" ht="33" customHeight="1" x14ac:dyDescent="0.25">
      <c r="A53" s="561" t="s">
        <v>182</v>
      </c>
      <c r="B53" s="722"/>
      <c r="C53" s="639">
        <v>57</v>
      </c>
      <c r="D53" s="639">
        <v>63</v>
      </c>
      <c r="E53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53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53" s="655">
        <f>SUM(Таблица_оружие[[#This Row],[урон макс.]]+Таблица_оружие[[#This Row],[урон мин.]])/2</f>
        <v>60</v>
      </c>
      <c r="H53" s="656">
        <f>SUM(Таблица_оружие[[#This Row],[урон макс.]]-Таблица_оружие[[#This Row],[урон мин.]])</f>
        <v>6</v>
      </c>
      <c r="I53" s="640">
        <v>4</v>
      </c>
      <c r="J53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53" s="727">
        <f>Таблица_оружие[[#This Row],[урон макс.]]*Таблица_оружие[[#This Row],[крит множ]]</f>
        <v>75.599999999999994</v>
      </c>
      <c r="L53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53" s="640">
        <v>70</v>
      </c>
      <c r="N53" s="657">
        <v>60</v>
      </c>
      <c r="O53" s="657"/>
      <c r="P53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53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53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53" s="640">
        <v>0</v>
      </c>
      <c r="T53" s="657">
        <v>0</v>
      </c>
      <c r="U53" s="657"/>
      <c r="V53" s="657">
        <v>5.5</v>
      </c>
      <c r="W53" s="657">
        <v>4.5</v>
      </c>
      <c r="X53" s="657"/>
      <c r="Y53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53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53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53" s="653">
        <v>7</v>
      </c>
      <c r="AC53" s="725">
        <f>(Примерочная!$U$7*VLOOKUP(Таблица_оружие[[#This Row],[название]],Таблица_моды_оружие[],11,0))</f>
        <v>0</v>
      </c>
      <c r="AD53" s="657">
        <v>35</v>
      </c>
      <c r="AE53" s="657"/>
      <c r="AF53" s="657"/>
      <c r="AG53" s="654"/>
      <c r="AH53" s="640">
        <v>1.2</v>
      </c>
      <c r="AI53" s="922">
        <f>Таблица_оружие[[#This Row],[крит множ]]+(Таблица_оружие[[#This Row],[крит множ]]*(Примерочная!$S$7*VLOOKUP(Примерочная!$V$2,Таблица_моды_оружие[],6,0)))</f>
        <v>1.2</v>
      </c>
      <c r="AJ53" s="930">
        <v>0.3</v>
      </c>
      <c r="AK53" s="726">
        <v>70</v>
      </c>
      <c r="AL53" s="560">
        <v>70</v>
      </c>
      <c r="AM53" s="739">
        <v>0</v>
      </c>
      <c r="AN53" s="967">
        <f>Таблица_оружие[[#This Row],[FH]]*(1+Примерочная!$U$7*VLOOKUP(Примерочная!$V$2,Таблица_моды_оружие[],11,0))-Таблица_оружие[[#This Row],[FH]]</f>
        <v>0</v>
      </c>
      <c r="AO53" s="968">
        <f>Таблица_оружие[[#This Row],[CH]]*(1+Примерочная!$U$7*VLOOKUP(Примерочная!$V$2,Таблица_моды_оружие[],11,0))-Таблица_оружие[[#This Row],[CH]]</f>
        <v>0</v>
      </c>
      <c r="AP53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54" spans="1:42" s="702" customFormat="1" ht="33" customHeight="1" thickBot="1" x14ac:dyDescent="0.3">
      <c r="A54" s="653"/>
      <c r="B54" s="654"/>
      <c r="C54" s="732"/>
      <c r="D54" s="737"/>
      <c r="E54" s="715"/>
      <c r="F54" s="716"/>
      <c r="G54" s="655"/>
      <c r="H54" s="656"/>
      <c r="I54" s="647"/>
      <c r="J54" s="716"/>
      <c r="K54" s="732"/>
      <c r="L54" s="604"/>
      <c r="M54" s="641"/>
      <c r="N54" s="714"/>
      <c r="O54" s="714"/>
      <c r="P54" s="603"/>
      <c r="Q54" s="603"/>
      <c r="R54" s="604"/>
      <c r="S54" s="641"/>
      <c r="T54" s="714"/>
      <c r="U54" s="714"/>
      <c r="V54" s="714"/>
      <c r="W54" s="714"/>
      <c r="X54" s="714"/>
      <c r="Y54" s="715"/>
      <c r="Z54" s="715"/>
      <c r="AA54" s="716"/>
      <c r="AB54" s="653"/>
      <c r="AC54" s="657"/>
      <c r="AD54" s="657"/>
      <c r="AE54" s="657"/>
      <c r="AF54" s="657"/>
      <c r="AG54" s="654"/>
      <c r="AH54" s="641"/>
      <c r="AI54" s="924"/>
      <c r="AJ54" s="641"/>
      <c r="AK54" s="965"/>
      <c r="AL54" s="714"/>
      <c r="AM54" s="963"/>
      <c r="AN54" s="952"/>
      <c r="AO54" s="953"/>
      <c r="AP54" s="954"/>
    </row>
    <row r="55" spans="1:42" s="677" customFormat="1" ht="33" customHeight="1" thickBot="1" x14ac:dyDescent="0.3">
      <c r="A55" s="743" t="s">
        <v>183</v>
      </c>
      <c r="B55" s="679"/>
      <c r="C55" s="730"/>
      <c r="D55" s="730"/>
      <c r="E55" s="709"/>
      <c r="F55" s="709"/>
      <c r="G55" s="680"/>
      <c r="H55" s="681"/>
      <c r="I55" s="720"/>
      <c r="J55" s="709"/>
      <c r="K55" s="730"/>
      <c r="L55" s="717"/>
      <c r="M55" s="708"/>
      <c r="N55" s="708"/>
      <c r="O55" s="708"/>
      <c r="P55" s="717"/>
      <c r="Q55" s="717"/>
      <c r="R55" s="717"/>
      <c r="S55" s="708"/>
      <c r="T55" s="708"/>
      <c r="U55" s="708"/>
      <c r="V55" s="708"/>
      <c r="W55" s="708"/>
      <c r="X55" s="708"/>
      <c r="Y55" s="709"/>
      <c r="Z55" s="709"/>
      <c r="AA55" s="709"/>
      <c r="AB55" s="661"/>
      <c r="AC55" s="661"/>
      <c r="AD55" s="687"/>
      <c r="AE55" s="687"/>
      <c r="AF55" s="687"/>
      <c r="AG55" s="687"/>
      <c r="AH55" s="704"/>
      <c r="AI55" s="701"/>
      <c r="AJ55" s="966"/>
      <c r="AK55" s="685"/>
      <c r="AL55" s="685"/>
      <c r="AM55" s="740"/>
      <c r="AN55" s="956"/>
      <c r="AO55" s="957"/>
      <c r="AP55" s="958"/>
    </row>
    <row r="56" spans="1:42" s="702" customFormat="1" ht="33" customHeight="1" x14ac:dyDescent="0.25">
      <c r="A56" s="653"/>
      <c r="B56" s="654"/>
      <c r="C56" s="731"/>
      <c r="D56" s="736"/>
      <c r="E56" s="712"/>
      <c r="F56" s="713"/>
      <c r="G56" s="655"/>
      <c r="H56" s="656"/>
      <c r="I56" s="721"/>
      <c r="J56" s="713"/>
      <c r="K56" s="731"/>
      <c r="L56" s="719"/>
      <c r="M56" s="710"/>
      <c r="N56" s="711"/>
      <c r="O56" s="711"/>
      <c r="P56" s="718"/>
      <c r="Q56" s="718"/>
      <c r="R56" s="719"/>
      <c r="S56" s="710"/>
      <c r="T56" s="711"/>
      <c r="U56" s="711"/>
      <c r="V56" s="711"/>
      <c r="W56" s="711"/>
      <c r="X56" s="711"/>
      <c r="Y56" s="712"/>
      <c r="Z56" s="712"/>
      <c r="AA56" s="713"/>
      <c r="AB56" s="707"/>
      <c r="AC56" s="657"/>
      <c r="AD56" s="657"/>
      <c r="AE56" s="657"/>
      <c r="AF56" s="657"/>
      <c r="AG56" s="654"/>
      <c r="AH56" s="705"/>
      <c r="AI56" s="923"/>
      <c r="AJ56" s="710"/>
      <c r="AK56" s="711"/>
      <c r="AL56" s="711"/>
      <c r="AM56" s="959"/>
      <c r="AN56" s="960"/>
      <c r="AO56" s="961"/>
      <c r="AP56" s="962"/>
    </row>
    <row r="57" spans="1:42" ht="33" customHeight="1" x14ac:dyDescent="0.25">
      <c r="A57" s="561" t="s">
        <v>184</v>
      </c>
      <c r="B57" s="722"/>
      <c r="C57" s="639">
        <v>7.2</v>
      </c>
      <c r="D57" s="639">
        <v>8.8000000000000007</v>
      </c>
      <c r="E57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57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57" s="655">
        <f>SUM(Таблица_оружие[[#This Row],[урон макс.]]+Таблица_оружие[[#This Row],[урон мин.]])/2</f>
        <v>8</v>
      </c>
      <c r="H57" s="656">
        <f>SUM(Таблица_оружие[[#This Row],[урон макс.]]-Таблица_оружие[[#This Row],[урон мин.]])</f>
        <v>1.6000000000000005</v>
      </c>
      <c r="I57" s="645">
        <v>3</v>
      </c>
      <c r="J57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57" s="727">
        <f>Таблица_оружие[[#This Row],[урон макс.]]*Таблица_оружие[[#This Row],[крит множ]]</f>
        <v>12.32</v>
      </c>
      <c r="L57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57" s="640">
        <v>60</v>
      </c>
      <c r="N57" s="657">
        <v>72</v>
      </c>
      <c r="O57" s="657">
        <v>54</v>
      </c>
      <c r="P57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57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57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57" s="640">
        <v>0</v>
      </c>
      <c r="T57" s="657">
        <v>4</v>
      </c>
      <c r="U57" s="657">
        <v>0</v>
      </c>
      <c r="V57" s="657">
        <v>9</v>
      </c>
      <c r="W57" s="657">
        <v>10</v>
      </c>
      <c r="X57" s="657">
        <v>8</v>
      </c>
      <c r="Y57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57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57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57" s="653">
        <v>4</v>
      </c>
      <c r="AC57" s="725">
        <f>(Примерочная!$U$7*VLOOKUP(Таблица_оружие[[#This Row],[название]],Таблица_моды_оружие[],11,0))</f>
        <v>0</v>
      </c>
      <c r="AD57" s="657"/>
      <c r="AE57" s="657"/>
      <c r="AF57" s="657"/>
      <c r="AG57" s="654"/>
      <c r="AH57" s="659">
        <v>1.4</v>
      </c>
      <c r="AI57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57" s="930">
        <v>0.3</v>
      </c>
      <c r="AK57" s="560">
        <v>50</v>
      </c>
      <c r="AL57" s="560">
        <v>50</v>
      </c>
      <c r="AM57" s="739">
        <v>0</v>
      </c>
      <c r="AN57" s="967">
        <f>Таблица_оружие[[#This Row],[FH]]*(1+Примерочная!$U$7*VLOOKUP(Примерочная!$V$2,Таблица_моды_оружие[],11,0))-Таблица_оружие[[#This Row],[FH]]</f>
        <v>0</v>
      </c>
      <c r="AO57" s="968">
        <f>Таблица_оружие[[#This Row],[CH]]*(1+Примерочная!$U$7*VLOOKUP(Примерочная!$V$2,Таблица_моды_оружие[],11,0))-Таблица_оружие[[#This Row],[CH]]</f>
        <v>0</v>
      </c>
      <c r="AP57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58" spans="1:42" ht="33" customHeight="1" x14ac:dyDescent="0.25">
      <c r="A58" s="561" t="s">
        <v>185</v>
      </c>
      <c r="B58" s="722"/>
      <c r="C58" s="639">
        <v>10.3</v>
      </c>
      <c r="D58" s="639">
        <v>12.5</v>
      </c>
      <c r="E58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58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58" s="655">
        <f>SUM(Таблица_оружие[[#This Row],[урон макс.]]+Таблица_оружие[[#This Row],[урон мин.]])/2</f>
        <v>11.4</v>
      </c>
      <c r="H58" s="656">
        <f>SUM(Таблица_оружие[[#This Row],[урон макс.]]-Таблица_оружие[[#This Row],[урон мин.]])</f>
        <v>2.1999999999999993</v>
      </c>
      <c r="I58" s="645">
        <v>4</v>
      </c>
      <c r="J58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58" s="727">
        <f>Таблица_оружие[[#This Row],[урон макс.]]*Таблица_оружие[[#This Row],[крит множ]]</f>
        <v>17.5</v>
      </c>
      <c r="L58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58" s="640">
        <v>65</v>
      </c>
      <c r="N58" s="657">
        <v>75</v>
      </c>
      <c r="O58" s="657">
        <v>55</v>
      </c>
      <c r="P58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58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58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58" s="640">
        <v>0</v>
      </c>
      <c r="T58" s="657">
        <v>4</v>
      </c>
      <c r="U58" s="657">
        <v>0</v>
      </c>
      <c r="V58" s="657">
        <v>8</v>
      </c>
      <c r="W58" s="657">
        <v>9</v>
      </c>
      <c r="X58" s="657">
        <v>7</v>
      </c>
      <c r="Y58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58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58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58" s="653">
        <v>7</v>
      </c>
      <c r="AC58" s="725">
        <f>(Примерочная!$U$7*VLOOKUP(Таблица_оружие[[#This Row],[название]],Таблица_моды_оружие[],11,0))</f>
        <v>0</v>
      </c>
      <c r="AD58" s="657"/>
      <c r="AE58" s="657">
        <v>1</v>
      </c>
      <c r="AF58" s="657"/>
      <c r="AG58" s="654"/>
      <c r="AH58" s="659">
        <v>1.4</v>
      </c>
      <c r="AI58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58" s="931">
        <v>0.3</v>
      </c>
      <c r="AK58" s="360">
        <v>50</v>
      </c>
      <c r="AL58" s="360">
        <v>50</v>
      </c>
      <c r="AM58" s="559">
        <v>0</v>
      </c>
      <c r="AN58" s="967">
        <f>Таблица_оружие[[#This Row],[FH]]*(1+Примерочная!$U$7*VLOOKUP(Примерочная!$V$2,Таблица_моды_оружие[],11,0))-Таблица_оружие[[#This Row],[FH]]</f>
        <v>0</v>
      </c>
      <c r="AO58" s="968">
        <f>Таблица_оружие[[#This Row],[CH]]*(1+Примерочная!$U$7*VLOOKUP(Примерочная!$V$2,Таблица_моды_оружие[],11,0))-Таблица_оружие[[#This Row],[CH]]</f>
        <v>0</v>
      </c>
      <c r="AP58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59" spans="1:42" ht="33" customHeight="1" x14ac:dyDescent="0.25">
      <c r="A59" s="561" t="s">
        <v>186</v>
      </c>
      <c r="B59" s="722"/>
      <c r="C59" s="639">
        <v>8.1</v>
      </c>
      <c r="D59" s="639">
        <v>9.9</v>
      </c>
      <c r="E59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59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59" s="655">
        <f>SUM(Таблица_оружие[[#This Row],[урон макс.]]+Таблица_оружие[[#This Row],[урон мин.]])/2</f>
        <v>9</v>
      </c>
      <c r="H59" s="656">
        <f>SUM(Таблица_оружие[[#This Row],[урон макс.]]-Таблица_оружие[[#This Row],[урон мин.]])</f>
        <v>1.8000000000000007</v>
      </c>
      <c r="I59" s="645">
        <v>6</v>
      </c>
      <c r="J59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59" s="727">
        <f>Таблица_оружие[[#This Row],[урон макс.]]*Таблица_оружие[[#This Row],[крит множ]]</f>
        <v>12.375</v>
      </c>
      <c r="L59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59" s="640">
        <v>70</v>
      </c>
      <c r="N59" s="657">
        <v>85</v>
      </c>
      <c r="O59" s="657">
        <v>65</v>
      </c>
      <c r="P59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59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59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59" s="640">
        <v>0</v>
      </c>
      <c r="T59" s="657">
        <v>4</v>
      </c>
      <c r="U59" s="657">
        <v>0</v>
      </c>
      <c r="V59" s="657">
        <v>10</v>
      </c>
      <c r="W59" s="657">
        <v>11</v>
      </c>
      <c r="X59" s="657">
        <v>9</v>
      </c>
      <c r="Y59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59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59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59" s="653">
        <v>7</v>
      </c>
      <c r="AC59" s="725">
        <f>(Примерочная!$U$7*VLOOKUP(Таблица_оружие[[#This Row],[название]],Таблица_моды_оружие[],11,0))</f>
        <v>0</v>
      </c>
      <c r="AD59" s="657"/>
      <c r="AE59" s="657">
        <v>1</v>
      </c>
      <c r="AF59" s="657"/>
      <c r="AG59" s="654"/>
      <c r="AH59" s="659">
        <v>1.25</v>
      </c>
      <c r="AI59" s="922">
        <f>Таблица_оружие[[#This Row],[крит множ]]+(Таблица_оружие[[#This Row],[крит множ]]*(Примерочная!$S$7*VLOOKUP(Примерочная!$V$2,Таблица_моды_оружие[],6,0)))</f>
        <v>1.25</v>
      </c>
      <c r="AJ59" s="930">
        <v>0.3</v>
      </c>
      <c r="AK59" s="560">
        <v>50</v>
      </c>
      <c r="AL59" s="560">
        <v>50</v>
      </c>
      <c r="AM59" s="739">
        <v>0</v>
      </c>
      <c r="AN59" s="967">
        <f>Таблица_оружие[[#This Row],[FH]]*(1+Примерочная!$U$7*VLOOKUP(Примерочная!$V$2,Таблица_моды_оружие[],11,0))-Таблица_оружие[[#This Row],[FH]]</f>
        <v>0</v>
      </c>
      <c r="AO59" s="968">
        <f>Таблица_оружие[[#This Row],[CH]]*(1+Примерочная!$U$7*VLOOKUP(Примерочная!$V$2,Таблица_моды_оружие[],11,0))-Таблица_оружие[[#This Row],[CH]]</f>
        <v>0</v>
      </c>
      <c r="AP59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60" spans="1:42" ht="33" customHeight="1" x14ac:dyDescent="0.25">
      <c r="A60" s="561" t="s">
        <v>187</v>
      </c>
      <c r="B60" s="722"/>
      <c r="C60" s="639">
        <v>13</v>
      </c>
      <c r="D60" s="639">
        <v>16</v>
      </c>
      <c r="E60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60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60" s="655">
        <f>SUM(Таблица_оружие[[#This Row],[урон макс.]]+Таблица_оружие[[#This Row],[урон мин.]])/2</f>
        <v>14.5</v>
      </c>
      <c r="H60" s="656">
        <f>SUM(Таблица_оружие[[#This Row],[урон макс.]]-Таблица_оружие[[#This Row],[урон мин.]])</f>
        <v>3</v>
      </c>
      <c r="I60" s="645">
        <v>4</v>
      </c>
      <c r="J60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60" s="727">
        <f>Таблица_оружие[[#This Row],[урон макс.]]*Таблица_оружие[[#This Row],[крит множ]]</f>
        <v>22.4</v>
      </c>
      <c r="L60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60" s="640">
        <v>65</v>
      </c>
      <c r="N60" s="657">
        <v>75</v>
      </c>
      <c r="O60" s="657">
        <v>55</v>
      </c>
      <c r="P60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60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60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60" s="640">
        <v>0</v>
      </c>
      <c r="T60" s="657">
        <v>4</v>
      </c>
      <c r="U60" s="657">
        <v>0</v>
      </c>
      <c r="V60" s="657">
        <v>8</v>
      </c>
      <c r="W60" s="657">
        <v>9</v>
      </c>
      <c r="X60" s="657">
        <v>7</v>
      </c>
      <c r="Y60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60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60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60" s="653">
        <v>7</v>
      </c>
      <c r="AC60" s="725">
        <f>(Примерочная!$U$7*VLOOKUP(Таблица_оружие[[#This Row],[название]],Таблица_моды_оружие[],11,0))</f>
        <v>0</v>
      </c>
      <c r="AD60" s="657"/>
      <c r="AE60" s="657">
        <v>3</v>
      </c>
      <c r="AF60" s="657"/>
      <c r="AG60" s="654"/>
      <c r="AH60" s="659">
        <v>1.4</v>
      </c>
      <c r="AI60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60" s="931">
        <v>0.3</v>
      </c>
      <c r="AK60" s="360">
        <v>50</v>
      </c>
      <c r="AL60" s="360">
        <v>50</v>
      </c>
      <c r="AM60" s="559">
        <v>0</v>
      </c>
      <c r="AN60" s="967">
        <f>Таблица_оружие[[#This Row],[FH]]*(1+Примерочная!$U$7*VLOOKUP(Примерочная!$V$2,Таблица_моды_оружие[],11,0))-Таблица_оружие[[#This Row],[FH]]</f>
        <v>0</v>
      </c>
      <c r="AO60" s="968">
        <f>Таблица_оружие[[#This Row],[CH]]*(1+Примерочная!$U$7*VLOOKUP(Примерочная!$V$2,Таблица_моды_оружие[],11,0))-Таблица_оружие[[#This Row],[CH]]</f>
        <v>0</v>
      </c>
      <c r="AP60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61" spans="1:42" ht="33" customHeight="1" x14ac:dyDescent="0.25">
      <c r="A61" s="561" t="s">
        <v>188</v>
      </c>
      <c r="B61" s="722"/>
      <c r="C61" s="639">
        <v>10.4</v>
      </c>
      <c r="D61" s="639">
        <v>12.59</v>
      </c>
      <c r="E61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61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61" s="655">
        <f>SUM(Таблица_оружие[[#This Row],[урон макс.]]+Таблица_оружие[[#This Row],[урон мин.]])/2</f>
        <v>11.495000000000001</v>
      </c>
      <c r="H61" s="656">
        <f>SUM(Таблица_оружие[[#This Row],[урон макс.]]-Таблица_оружие[[#This Row],[урон мин.]])</f>
        <v>2.1899999999999995</v>
      </c>
      <c r="I61" s="645">
        <v>6</v>
      </c>
      <c r="J61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61" s="727">
        <f>Таблица_оружие[[#This Row],[урон макс.]]*Таблица_оружие[[#This Row],[крит множ]]</f>
        <v>15.737500000000001</v>
      </c>
      <c r="L61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61" s="640">
        <v>70</v>
      </c>
      <c r="N61" s="657">
        <v>85</v>
      </c>
      <c r="O61" s="657">
        <v>65</v>
      </c>
      <c r="P61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61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61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61" s="640">
        <v>0</v>
      </c>
      <c r="T61" s="657">
        <v>4</v>
      </c>
      <c r="U61" s="657">
        <v>0</v>
      </c>
      <c r="V61" s="657">
        <v>10</v>
      </c>
      <c r="W61" s="657">
        <v>11</v>
      </c>
      <c r="X61" s="657">
        <v>9</v>
      </c>
      <c r="Y61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61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61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61" s="653">
        <v>7</v>
      </c>
      <c r="AC61" s="725">
        <f>(Примерочная!$U$7*VLOOKUP(Таблица_оружие[[#This Row],[название]],Таблица_моды_оружие[],11,0))</f>
        <v>0</v>
      </c>
      <c r="AD61" s="657"/>
      <c r="AE61" s="657">
        <v>3</v>
      </c>
      <c r="AF61" s="657"/>
      <c r="AG61" s="654"/>
      <c r="AH61" s="659">
        <v>1.25</v>
      </c>
      <c r="AI61" s="922">
        <f>Таблица_оружие[[#This Row],[крит множ]]+(Таблица_оружие[[#This Row],[крит множ]]*(Примерочная!$S$7*VLOOKUP(Примерочная!$V$2,Таблица_моды_оружие[],6,0)))</f>
        <v>1.25</v>
      </c>
      <c r="AJ61" s="930">
        <v>0.3</v>
      </c>
      <c r="AK61" s="560">
        <v>50</v>
      </c>
      <c r="AL61" s="560">
        <v>50</v>
      </c>
      <c r="AM61" s="739">
        <v>0</v>
      </c>
      <c r="AN61" s="967">
        <f>Таблица_оружие[[#This Row],[FH]]*(1+Примерочная!$U$7*VLOOKUP(Примерочная!$V$2,Таблица_моды_оружие[],11,0))-Таблица_оружие[[#This Row],[FH]]</f>
        <v>0</v>
      </c>
      <c r="AO61" s="968">
        <f>Таблица_оружие[[#This Row],[CH]]*(1+Примерочная!$U$7*VLOOKUP(Примерочная!$V$2,Таблица_моды_оружие[],11,0))-Таблица_оружие[[#This Row],[CH]]</f>
        <v>0</v>
      </c>
      <c r="AP61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62" spans="1:42" ht="33" customHeight="1" x14ac:dyDescent="0.25">
      <c r="A62" s="561" t="s">
        <v>189</v>
      </c>
      <c r="B62" s="722"/>
      <c r="C62" s="639">
        <v>16.100000000000001</v>
      </c>
      <c r="D62" s="639">
        <v>19</v>
      </c>
      <c r="E62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62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62" s="655">
        <f>SUM(Таблица_оружие[[#This Row],[урон макс.]]+Таблица_оружие[[#This Row],[урон мин.]])/2</f>
        <v>17.55</v>
      </c>
      <c r="H62" s="656">
        <f>SUM(Таблица_оружие[[#This Row],[урон макс.]]-Таблица_оружие[[#This Row],[урон мин.]])</f>
        <v>2.8999999999999986</v>
      </c>
      <c r="I62" s="645">
        <v>4</v>
      </c>
      <c r="J62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62" s="727">
        <f>Таблица_оружие[[#This Row],[урон макс.]]*Таблица_оружие[[#This Row],[крит множ]]</f>
        <v>26.599999999999998</v>
      </c>
      <c r="L62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62" s="640">
        <v>65</v>
      </c>
      <c r="N62" s="657">
        <v>75</v>
      </c>
      <c r="O62" s="657">
        <v>55</v>
      </c>
      <c r="P62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62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62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62" s="640">
        <v>0</v>
      </c>
      <c r="T62" s="657">
        <v>4</v>
      </c>
      <c r="U62" s="657">
        <v>0</v>
      </c>
      <c r="V62" s="657">
        <v>8</v>
      </c>
      <c r="W62" s="657">
        <v>9</v>
      </c>
      <c r="X62" s="657">
        <v>7</v>
      </c>
      <c r="Y62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62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62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62" s="653">
        <v>7</v>
      </c>
      <c r="AC62" s="725">
        <f>(Примерочная!$U$7*VLOOKUP(Таблица_оружие[[#This Row],[название]],Таблица_моды_оружие[],11,0))</f>
        <v>0</v>
      </c>
      <c r="AD62" s="657"/>
      <c r="AE62" s="657">
        <v>7</v>
      </c>
      <c r="AF62" s="657"/>
      <c r="AG62" s="654"/>
      <c r="AH62" s="659">
        <v>1.4</v>
      </c>
      <c r="AI62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62" s="931">
        <v>0.3</v>
      </c>
      <c r="AK62" s="360">
        <v>50</v>
      </c>
      <c r="AL62" s="360">
        <v>50</v>
      </c>
      <c r="AM62" s="559">
        <v>0</v>
      </c>
      <c r="AN62" s="967">
        <f>Таблица_оружие[[#This Row],[FH]]*(1+Примерочная!$U$7*VLOOKUP(Примерочная!$V$2,Таблица_моды_оружие[],11,0))-Таблица_оружие[[#This Row],[FH]]</f>
        <v>0</v>
      </c>
      <c r="AO62" s="968">
        <f>Таблица_оружие[[#This Row],[CH]]*(1+Примерочная!$U$7*VLOOKUP(Примерочная!$V$2,Таблица_моды_оружие[],11,0))-Таблица_оружие[[#This Row],[CH]]</f>
        <v>0</v>
      </c>
      <c r="AP62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63" spans="1:42" ht="33" customHeight="1" x14ac:dyDescent="0.25">
      <c r="A63" s="561" t="s">
        <v>190</v>
      </c>
      <c r="B63" s="722"/>
      <c r="C63" s="639">
        <v>12.5</v>
      </c>
      <c r="D63" s="639">
        <v>16</v>
      </c>
      <c r="E63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63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63" s="655">
        <f>SUM(Таблица_оружие[[#This Row],[урон макс.]]+Таблица_оружие[[#This Row],[урон мин.]])/2</f>
        <v>14.25</v>
      </c>
      <c r="H63" s="656">
        <f>SUM(Таблица_оружие[[#This Row],[урон макс.]]-Таблица_оружие[[#This Row],[урон мин.]])</f>
        <v>3.5</v>
      </c>
      <c r="I63" s="645">
        <v>6</v>
      </c>
      <c r="J63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63" s="727">
        <f>Таблица_оружие[[#This Row],[урон макс.]]*Таблица_оружие[[#This Row],[крит множ]]</f>
        <v>20</v>
      </c>
      <c r="L63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63" s="640">
        <v>70</v>
      </c>
      <c r="N63" s="657">
        <v>85</v>
      </c>
      <c r="O63" s="657">
        <v>65</v>
      </c>
      <c r="P63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63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63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63" s="640">
        <v>0</v>
      </c>
      <c r="T63" s="657">
        <v>4</v>
      </c>
      <c r="U63" s="657">
        <v>0</v>
      </c>
      <c r="V63" s="657">
        <v>10</v>
      </c>
      <c r="W63" s="657">
        <v>11</v>
      </c>
      <c r="X63" s="657">
        <v>9</v>
      </c>
      <c r="Y63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63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63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63" s="653">
        <v>7</v>
      </c>
      <c r="AC63" s="725">
        <f>(Примерочная!$U$7*VLOOKUP(Таблица_оружие[[#This Row],[название]],Таблица_моды_оружие[],11,0))</f>
        <v>0</v>
      </c>
      <c r="AD63" s="657"/>
      <c r="AE63" s="657">
        <v>7</v>
      </c>
      <c r="AF63" s="657"/>
      <c r="AG63" s="654"/>
      <c r="AH63" s="659">
        <v>1.25</v>
      </c>
      <c r="AI63" s="922">
        <f>Таблица_оружие[[#This Row],[крит множ]]+(Таблица_оружие[[#This Row],[крит множ]]*(Примерочная!$S$7*VLOOKUP(Примерочная!$V$2,Таблица_моды_оружие[],6,0)))</f>
        <v>1.25</v>
      </c>
      <c r="AJ63" s="930">
        <v>0.3</v>
      </c>
      <c r="AK63" s="560">
        <v>50</v>
      </c>
      <c r="AL63" s="560">
        <v>50</v>
      </c>
      <c r="AM63" s="739">
        <v>0</v>
      </c>
      <c r="AN63" s="967">
        <f>Таблица_оружие[[#This Row],[FH]]*(1+Примерочная!$U$7*VLOOKUP(Примерочная!$V$2,Таблица_моды_оружие[],11,0))-Таблица_оружие[[#This Row],[FH]]</f>
        <v>0</v>
      </c>
      <c r="AO63" s="968">
        <f>Таблица_оружие[[#This Row],[CH]]*(1+Примерочная!$U$7*VLOOKUP(Примерочная!$V$2,Таблица_моды_оружие[],11,0))-Таблица_оружие[[#This Row],[CH]]</f>
        <v>0</v>
      </c>
      <c r="AP63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64" spans="1:42" ht="33" customHeight="1" x14ac:dyDescent="0.25">
      <c r="A64" s="561" t="s">
        <v>191</v>
      </c>
      <c r="B64" s="722"/>
      <c r="C64" s="639">
        <v>17</v>
      </c>
      <c r="D64" s="639">
        <v>20.2</v>
      </c>
      <c r="E64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64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64" s="655">
        <f>SUM(Таблица_оружие[[#This Row],[урон макс.]]+Таблица_оружие[[#This Row],[урон мин.]])/2</f>
        <v>18.600000000000001</v>
      </c>
      <c r="H64" s="656">
        <f>SUM(Таблица_оружие[[#This Row],[урон макс.]]-Таблица_оружие[[#This Row],[урон мин.]])</f>
        <v>3.1999999999999993</v>
      </c>
      <c r="I64" s="645">
        <v>4</v>
      </c>
      <c r="J64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64" s="727">
        <f>Таблица_оружие[[#This Row],[урон макс.]]*Таблица_оружие[[#This Row],[крит множ]]</f>
        <v>28.279999999999998</v>
      </c>
      <c r="L64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64" s="640">
        <v>65</v>
      </c>
      <c r="N64" s="657">
        <v>75</v>
      </c>
      <c r="O64" s="657">
        <v>55</v>
      </c>
      <c r="P64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64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64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64" s="640">
        <v>0</v>
      </c>
      <c r="T64" s="657">
        <v>4</v>
      </c>
      <c r="U64" s="657">
        <v>0</v>
      </c>
      <c r="V64" s="657">
        <v>8</v>
      </c>
      <c r="W64" s="657">
        <v>9</v>
      </c>
      <c r="X64" s="657">
        <v>7</v>
      </c>
      <c r="Y64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64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64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64" s="653">
        <v>7</v>
      </c>
      <c r="AC64" s="725">
        <f>(Примерочная!$U$7*VLOOKUP(Таблица_оружие[[#This Row],[название]],Таблица_моды_оружие[],11,0))</f>
        <v>0</v>
      </c>
      <c r="AD64" s="657"/>
      <c r="AE64" s="657">
        <v>10</v>
      </c>
      <c r="AF64" s="657"/>
      <c r="AG64" s="654"/>
      <c r="AH64" s="659">
        <v>1.4</v>
      </c>
      <c r="AI64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64" s="931">
        <v>0.3</v>
      </c>
      <c r="AK64" s="360">
        <v>50</v>
      </c>
      <c r="AL64" s="360">
        <v>50</v>
      </c>
      <c r="AM64" s="559">
        <v>0</v>
      </c>
      <c r="AN64" s="967">
        <f>Таблица_оружие[[#This Row],[FH]]*(1+Примерочная!$U$7*VLOOKUP(Примерочная!$V$2,Таблица_моды_оружие[],11,0))-Таблица_оружие[[#This Row],[FH]]</f>
        <v>0</v>
      </c>
      <c r="AO64" s="968">
        <f>Таблица_оружие[[#This Row],[CH]]*(1+Примерочная!$U$7*VLOOKUP(Примерочная!$V$2,Таблица_моды_оружие[],11,0))-Таблица_оружие[[#This Row],[CH]]</f>
        <v>0</v>
      </c>
      <c r="AP64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65" spans="1:42" ht="33" customHeight="1" x14ac:dyDescent="0.25">
      <c r="A65" s="561" t="s">
        <v>192</v>
      </c>
      <c r="B65" s="722"/>
      <c r="C65" s="639">
        <v>13.5</v>
      </c>
      <c r="D65" s="639">
        <v>16.5</v>
      </c>
      <c r="E65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65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65" s="655">
        <f>SUM(Таблица_оружие[[#This Row],[урон макс.]]+Таблица_оружие[[#This Row],[урон мин.]])/2</f>
        <v>15</v>
      </c>
      <c r="H65" s="656">
        <f>SUM(Таблица_оружие[[#This Row],[урон макс.]]-Таблица_оружие[[#This Row],[урон мин.]])</f>
        <v>3</v>
      </c>
      <c r="I65" s="645">
        <v>6</v>
      </c>
      <c r="J65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65" s="727">
        <f>Таблица_оружие[[#This Row],[урон макс.]]*Таблица_оружие[[#This Row],[крит множ]]</f>
        <v>20.625</v>
      </c>
      <c r="L65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65" s="640">
        <v>70</v>
      </c>
      <c r="N65" s="657">
        <v>85</v>
      </c>
      <c r="O65" s="657">
        <v>65</v>
      </c>
      <c r="P65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65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65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65" s="640">
        <v>0</v>
      </c>
      <c r="T65" s="657">
        <v>4</v>
      </c>
      <c r="U65" s="657">
        <v>0</v>
      </c>
      <c r="V65" s="657">
        <v>10</v>
      </c>
      <c r="W65" s="657">
        <v>11</v>
      </c>
      <c r="X65" s="657">
        <v>9</v>
      </c>
      <c r="Y65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65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65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65" s="653">
        <v>7</v>
      </c>
      <c r="AC65" s="725">
        <f>(Примерочная!$U$7*VLOOKUP(Таблица_оружие[[#This Row],[название]],Таблица_моды_оружие[],11,0))</f>
        <v>0</v>
      </c>
      <c r="AD65" s="657"/>
      <c r="AE65" s="657">
        <v>10</v>
      </c>
      <c r="AF65" s="657"/>
      <c r="AG65" s="654"/>
      <c r="AH65" s="659">
        <v>1.25</v>
      </c>
      <c r="AI65" s="922">
        <f>Таблица_оружие[[#This Row],[крит множ]]+(Таблица_оружие[[#This Row],[крит множ]]*(Примерочная!$S$7*VLOOKUP(Примерочная!$V$2,Таблица_моды_оружие[],6,0)))</f>
        <v>1.25</v>
      </c>
      <c r="AJ65" s="930">
        <v>0.3</v>
      </c>
      <c r="AK65" s="560">
        <v>50</v>
      </c>
      <c r="AL65" s="560">
        <v>50</v>
      </c>
      <c r="AM65" s="739">
        <v>0</v>
      </c>
      <c r="AN65" s="967">
        <f>Таблица_оружие[[#This Row],[FH]]*(1+Примерочная!$U$7*VLOOKUP(Примерочная!$V$2,Таблица_моды_оружие[],11,0))-Таблица_оружие[[#This Row],[FH]]</f>
        <v>0</v>
      </c>
      <c r="AO65" s="968">
        <f>Таблица_оружие[[#This Row],[CH]]*(1+Примерочная!$U$7*VLOOKUP(Примерочная!$V$2,Таблица_моды_оружие[],11,0))-Таблица_оружие[[#This Row],[CH]]</f>
        <v>0</v>
      </c>
      <c r="AP65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66" spans="1:42" ht="33" customHeight="1" x14ac:dyDescent="0.25">
      <c r="A66" s="561" t="s">
        <v>193</v>
      </c>
      <c r="B66" s="722"/>
      <c r="C66" s="639">
        <v>19.3</v>
      </c>
      <c r="D66" s="639">
        <v>23.7</v>
      </c>
      <c r="E66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66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66" s="655">
        <f>SUM(Таблица_оружие[[#This Row],[урон макс.]]+Таблица_оружие[[#This Row],[урон мин.]])/2</f>
        <v>21.5</v>
      </c>
      <c r="H66" s="656">
        <f>SUM(Таблица_оружие[[#This Row],[урон макс.]]-Таблица_оружие[[#This Row],[урон мин.]])</f>
        <v>4.3999999999999986</v>
      </c>
      <c r="I66" s="645">
        <v>4</v>
      </c>
      <c r="J66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66" s="727">
        <f>Таблица_оружие[[#This Row],[урон макс.]]*Таблица_оружие[[#This Row],[крит множ]]</f>
        <v>33.18</v>
      </c>
      <c r="L66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66" s="640">
        <v>65</v>
      </c>
      <c r="N66" s="657">
        <v>75</v>
      </c>
      <c r="O66" s="657">
        <v>55</v>
      </c>
      <c r="P66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66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66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66" s="640">
        <v>0</v>
      </c>
      <c r="T66" s="657">
        <v>4</v>
      </c>
      <c r="U66" s="657">
        <v>0</v>
      </c>
      <c r="V66" s="657">
        <v>8</v>
      </c>
      <c r="W66" s="657">
        <v>9</v>
      </c>
      <c r="X66" s="657">
        <v>7</v>
      </c>
      <c r="Y66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66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66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66" s="653">
        <v>7</v>
      </c>
      <c r="AC66" s="725">
        <f>(Примерочная!$U$7*VLOOKUP(Таблица_оружие[[#This Row],[название]],Таблица_моды_оружие[],11,0))</f>
        <v>0</v>
      </c>
      <c r="AD66" s="657"/>
      <c r="AE66" s="657">
        <v>14</v>
      </c>
      <c r="AF66" s="657"/>
      <c r="AG66" s="654"/>
      <c r="AH66" s="659">
        <v>1.4</v>
      </c>
      <c r="AI66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66" s="931">
        <v>0.3</v>
      </c>
      <c r="AK66" s="360">
        <v>50</v>
      </c>
      <c r="AL66" s="360">
        <v>50</v>
      </c>
      <c r="AM66" s="559">
        <v>0</v>
      </c>
      <c r="AN66" s="967">
        <f>Таблица_оружие[[#This Row],[FH]]*(1+Примерочная!$U$7*VLOOKUP(Примерочная!$V$2,Таблица_моды_оружие[],11,0))-Таблица_оружие[[#This Row],[FH]]</f>
        <v>0</v>
      </c>
      <c r="AO66" s="968">
        <f>Таблица_оружие[[#This Row],[CH]]*(1+Примерочная!$U$7*VLOOKUP(Примерочная!$V$2,Таблица_моды_оружие[],11,0))-Таблица_оружие[[#This Row],[CH]]</f>
        <v>0</v>
      </c>
      <c r="AP66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67" spans="1:42" ht="33" customHeight="1" x14ac:dyDescent="0.25">
      <c r="A67" s="561" t="s">
        <v>194</v>
      </c>
      <c r="B67" s="722"/>
      <c r="C67" s="639">
        <v>16.2</v>
      </c>
      <c r="D67" s="639">
        <v>19.8</v>
      </c>
      <c r="E67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67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67" s="655">
        <f>SUM(Таблица_оружие[[#This Row],[урон макс.]]+Таблица_оружие[[#This Row],[урон мин.]])/2</f>
        <v>18</v>
      </c>
      <c r="H67" s="656">
        <f>SUM(Таблица_оружие[[#This Row],[урон макс.]]-Таблица_оружие[[#This Row],[урон мин.]])</f>
        <v>3.6000000000000014</v>
      </c>
      <c r="I67" s="645">
        <v>6</v>
      </c>
      <c r="J67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67" s="727">
        <f>Таблица_оружие[[#This Row],[урон макс.]]*Таблица_оружие[[#This Row],[крит множ]]</f>
        <v>24.75</v>
      </c>
      <c r="L67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67" s="640">
        <v>70</v>
      </c>
      <c r="N67" s="657">
        <v>85</v>
      </c>
      <c r="O67" s="657">
        <v>65</v>
      </c>
      <c r="P67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67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67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67" s="640">
        <v>0</v>
      </c>
      <c r="T67" s="657">
        <v>4</v>
      </c>
      <c r="U67" s="657">
        <v>0</v>
      </c>
      <c r="V67" s="657">
        <v>10</v>
      </c>
      <c r="W67" s="657">
        <v>11</v>
      </c>
      <c r="X67" s="657">
        <v>9</v>
      </c>
      <c r="Y67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67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67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67" s="653">
        <v>7</v>
      </c>
      <c r="AC67" s="725">
        <f>(Примерочная!$U$7*VLOOKUP(Таблица_оружие[[#This Row],[название]],Таблица_моды_оружие[],11,0))</f>
        <v>0</v>
      </c>
      <c r="AD67" s="657"/>
      <c r="AE67" s="657">
        <v>14</v>
      </c>
      <c r="AF67" s="657"/>
      <c r="AG67" s="654"/>
      <c r="AH67" s="659">
        <v>1.25</v>
      </c>
      <c r="AI67" s="922">
        <f>Таблица_оружие[[#This Row],[крит множ]]+(Таблица_оружие[[#This Row],[крит множ]]*(Примерочная!$S$7*VLOOKUP(Примерочная!$V$2,Таблица_моды_оружие[],6,0)))</f>
        <v>1.25</v>
      </c>
      <c r="AJ67" s="930">
        <v>0.3</v>
      </c>
      <c r="AK67" s="560">
        <v>50</v>
      </c>
      <c r="AL67" s="560">
        <v>50</v>
      </c>
      <c r="AM67" s="739">
        <v>0</v>
      </c>
      <c r="AN67" s="967">
        <f>Таблица_оружие[[#This Row],[FH]]*(1+Примерочная!$U$7*VLOOKUP(Примерочная!$V$2,Таблица_моды_оружие[],11,0))-Таблица_оружие[[#This Row],[FH]]</f>
        <v>0</v>
      </c>
      <c r="AO67" s="968">
        <f>Таблица_оружие[[#This Row],[CH]]*(1+Примерочная!$U$7*VLOOKUP(Примерочная!$V$2,Таблица_моды_оружие[],11,0))-Таблица_оружие[[#This Row],[CH]]</f>
        <v>0</v>
      </c>
      <c r="AP67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68" spans="1:42" ht="33" customHeight="1" x14ac:dyDescent="0.25">
      <c r="A68" s="561" t="s">
        <v>195</v>
      </c>
      <c r="B68" s="722"/>
      <c r="C68" s="639">
        <v>22</v>
      </c>
      <c r="D68" s="639">
        <v>27</v>
      </c>
      <c r="E68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68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68" s="655">
        <f>SUM(Таблица_оружие[[#This Row],[урон макс.]]+Таблица_оружие[[#This Row],[урон мин.]])/2</f>
        <v>24.5</v>
      </c>
      <c r="H68" s="656">
        <f>SUM(Таблица_оружие[[#This Row],[урон макс.]]-Таблица_оружие[[#This Row],[урон мин.]])</f>
        <v>5</v>
      </c>
      <c r="I68" s="645">
        <v>4</v>
      </c>
      <c r="J68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68" s="727">
        <f>Таблица_оружие[[#This Row],[урон макс.]]*Таблица_оружие[[#This Row],[крит множ]]</f>
        <v>37.799999999999997</v>
      </c>
      <c r="L68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68" s="640">
        <v>65</v>
      </c>
      <c r="N68" s="657">
        <v>75</v>
      </c>
      <c r="O68" s="657">
        <v>55</v>
      </c>
      <c r="P68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68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68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68" s="640">
        <v>0</v>
      </c>
      <c r="T68" s="657">
        <v>4</v>
      </c>
      <c r="U68" s="657">
        <v>0</v>
      </c>
      <c r="V68" s="657">
        <v>8</v>
      </c>
      <c r="W68" s="657">
        <v>9</v>
      </c>
      <c r="X68" s="657">
        <v>7</v>
      </c>
      <c r="Y68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68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68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68" s="653">
        <v>7</v>
      </c>
      <c r="AC68" s="725">
        <f>(Примерочная!$U$7*VLOOKUP(Таблица_оружие[[#This Row],[название]],Таблица_моды_оружие[],11,0))</f>
        <v>0</v>
      </c>
      <c r="AD68" s="657"/>
      <c r="AE68" s="657">
        <v>17</v>
      </c>
      <c r="AF68" s="657"/>
      <c r="AG68" s="654"/>
      <c r="AH68" s="659">
        <v>1.4</v>
      </c>
      <c r="AI68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68" s="931">
        <v>0.3</v>
      </c>
      <c r="AK68" s="360">
        <v>50</v>
      </c>
      <c r="AL68" s="360">
        <v>50</v>
      </c>
      <c r="AM68" s="559">
        <v>0</v>
      </c>
      <c r="AN68" s="967">
        <f>Таблица_оружие[[#This Row],[FH]]*(1+Примерочная!$U$7*VLOOKUP(Примерочная!$V$2,Таблица_моды_оружие[],11,0))-Таблица_оружие[[#This Row],[FH]]</f>
        <v>0</v>
      </c>
      <c r="AO68" s="968">
        <f>Таблица_оружие[[#This Row],[CH]]*(1+Примерочная!$U$7*VLOOKUP(Примерочная!$V$2,Таблица_моды_оружие[],11,0))-Таблица_оружие[[#This Row],[CH]]</f>
        <v>0</v>
      </c>
      <c r="AP68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69" spans="1:42" ht="33" customHeight="1" x14ac:dyDescent="0.25">
      <c r="A69" s="561" t="s">
        <v>196</v>
      </c>
      <c r="B69" s="722"/>
      <c r="C69" s="639">
        <v>18.399999999999999</v>
      </c>
      <c r="D69" s="639">
        <v>22.6</v>
      </c>
      <c r="E69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69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69" s="655">
        <f>SUM(Таблица_оружие[[#This Row],[урон макс.]]+Таблица_оружие[[#This Row],[урон мин.]])/2</f>
        <v>20.5</v>
      </c>
      <c r="H69" s="656">
        <f>SUM(Таблица_оружие[[#This Row],[урон макс.]]-Таблица_оружие[[#This Row],[урон мин.]])</f>
        <v>4.2000000000000028</v>
      </c>
      <c r="I69" s="645">
        <v>6</v>
      </c>
      <c r="J69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69" s="727">
        <f>Таблица_оружие[[#This Row],[урон макс.]]*Таблица_оружие[[#This Row],[крит множ]]</f>
        <v>28.25</v>
      </c>
      <c r="L69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69" s="640">
        <v>70</v>
      </c>
      <c r="N69" s="657">
        <v>85</v>
      </c>
      <c r="O69" s="657">
        <v>65</v>
      </c>
      <c r="P69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69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69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69" s="640">
        <v>0</v>
      </c>
      <c r="T69" s="657">
        <v>4</v>
      </c>
      <c r="U69" s="657">
        <v>0</v>
      </c>
      <c r="V69" s="657">
        <v>10</v>
      </c>
      <c r="W69" s="657">
        <v>11</v>
      </c>
      <c r="X69" s="657">
        <v>9</v>
      </c>
      <c r="Y69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69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69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69" s="653">
        <v>7</v>
      </c>
      <c r="AC69" s="725">
        <f>(Примерочная!$U$7*VLOOKUP(Таблица_оружие[[#This Row],[название]],Таблица_моды_оружие[],11,0))</f>
        <v>0</v>
      </c>
      <c r="AD69" s="657"/>
      <c r="AE69" s="657">
        <v>17</v>
      </c>
      <c r="AF69" s="657"/>
      <c r="AG69" s="654"/>
      <c r="AH69" s="659">
        <v>1.25</v>
      </c>
      <c r="AI69" s="922">
        <f>Таблица_оружие[[#This Row],[крит множ]]+(Таблица_оружие[[#This Row],[крит множ]]*(Примерочная!$S$7*VLOOKUP(Примерочная!$V$2,Таблица_моды_оружие[],6,0)))</f>
        <v>1.25</v>
      </c>
      <c r="AJ69" s="930">
        <v>0.3</v>
      </c>
      <c r="AK69" s="560">
        <v>50</v>
      </c>
      <c r="AL69" s="560">
        <v>50</v>
      </c>
      <c r="AM69" s="739">
        <v>0</v>
      </c>
      <c r="AN69" s="967">
        <f>Таблица_оружие[[#This Row],[FH]]*(1+Примерочная!$U$7*VLOOKUP(Примерочная!$V$2,Таблица_моды_оружие[],11,0))-Таблица_оружие[[#This Row],[FH]]</f>
        <v>0</v>
      </c>
      <c r="AO69" s="968">
        <f>Таблица_оружие[[#This Row],[CH]]*(1+Примерочная!$U$7*VLOOKUP(Примерочная!$V$2,Таблица_моды_оружие[],11,0))-Таблица_оружие[[#This Row],[CH]]</f>
        <v>0</v>
      </c>
      <c r="AP69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70" spans="1:42" ht="33" customHeight="1" x14ac:dyDescent="0.25">
      <c r="A70" s="561" t="s">
        <v>197</v>
      </c>
      <c r="B70" s="722"/>
      <c r="C70" s="639">
        <v>24.5</v>
      </c>
      <c r="D70" s="639">
        <v>30</v>
      </c>
      <c r="E70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70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70" s="655">
        <f>SUM(Таблица_оружие[[#This Row],[урон макс.]]+Таблица_оружие[[#This Row],[урон мин.]])/2</f>
        <v>27.25</v>
      </c>
      <c r="H70" s="656">
        <f>SUM(Таблица_оружие[[#This Row],[урон макс.]]-Таблица_оружие[[#This Row],[урон мин.]])</f>
        <v>5.5</v>
      </c>
      <c r="I70" s="645">
        <v>4</v>
      </c>
      <c r="J70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70" s="727">
        <f>Таблица_оружие[[#This Row],[урон макс.]]*Таблица_оружие[[#This Row],[крит множ]]</f>
        <v>42</v>
      </c>
      <c r="L70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70" s="640">
        <v>65</v>
      </c>
      <c r="N70" s="657">
        <v>75</v>
      </c>
      <c r="O70" s="657">
        <v>55</v>
      </c>
      <c r="P70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70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70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70" s="640">
        <v>0</v>
      </c>
      <c r="T70" s="657">
        <v>4</v>
      </c>
      <c r="U70" s="657">
        <v>0</v>
      </c>
      <c r="V70" s="657">
        <v>8</v>
      </c>
      <c r="W70" s="657">
        <v>9</v>
      </c>
      <c r="X70" s="657">
        <v>7</v>
      </c>
      <c r="Y70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70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70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70" s="653">
        <v>7</v>
      </c>
      <c r="AC70" s="725">
        <f>(Примерочная!$U$7*VLOOKUP(Таблица_оружие[[#This Row],[название]],Таблица_моды_оружие[],11,0))</f>
        <v>0</v>
      </c>
      <c r="AD70" s="657"/>
      <c r="AE70" s="657">
        <v>19</v>
      </c>
      <c r="AF70" s="657"/>
      <c r="AG70" s="654"/>
      <c r="AH70" s="659">
        <v>1.4</v>
      </c>
      <c r="AI70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70" s="931">
        <v>0.3</v>
      </c>
      <c r="AK70" s="360">
        <v>50</v>
      </c>
      <c r="AL70" s="360">
        <v>50</v>
      </c>
      <c r="AM70" s="559">
        <v>0</v>
      </c>
      <c r="AN70" s="967">
        <f>Таблица_оружие[[#This Row],[FH]]*(1+Примерочная!$U$7*VLOOKUP(Примерочная!$V$2,Таблица_моды_оружие[],11,0))-Таблица_оружие[[#This Row],[FH]]</f>
        <v>0</v>
      </c>
      <c r="AO70" s="968">
        <f>Таблица_оружие[[#This Row],[CH]]*(1+Примерочная!$U$7*VLOOKUP(Примерочная!$V$2,Таблица_моды_оружие[],11,0))-Таблица_оружие[[#This Row],[CH]]</f>
        <v>0</v>
      </c>
      <c r="AP70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71" spans="1:42" ht="33" customHeight="1" x14ac:dyDescent="0.25">
      <c r="A71" s="561" t="s">
        <v>198</v>
      </c>
      <c r="B71" s="722"/>
      <c r="C71" s="639">
        <v>21.5</v>
      </c>
      <c r="D71" s="639">
        <v>25</v>
      </c>
      <c r="E71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71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71" s="655">
        <f>SUM(Таблица_оружие[[#This Row],[урон макс.]]+Таблица_оружие[[#This Row],[урон мин.]])/2</f>
        <v>23.25</v>
      </c>
      <c r="H71" s="656">
        <f>SUM(Таблица_оружие[[#This Row],[урон макс.]]-Таблица_оружие[[#This Row],[урон мин.]])</f>
        <v>3.5</v>
      </c>
      <c r="I71" s="645">
        <v>6</v>
      </c>
      <c r="J71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71" s="727">
        <f>Таблица_оружие[[#This Row],[урон макс.]]*Таблица_оружие[[#This Row],[крит множ]]</f>
        <v>31.25</v>
      </c>
      <c r="L71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71" s="640">
        <v>70</v>
      </c>
      <c r="N71" s="657">
        <v>85</v>
      </c>
      <c r="O71" s="657">
        <v>65</v>
      </c>
      <c r="P71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71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71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71" s="640">
        <v>0</v>
      </c>
      <c r="T71" s="657">
        <v>4</v>
      </c>
      <c r="U71" s="657">
        <v>0</v>
      </c>
      <c r="V71" s="657">
        <v>10</v>
      </c>
      <c r="W71" s="657">
        <v>11</v>
      </c>
      <c r="X71" s="657">
        <v>9</v>
      </c>
      <c r="Y71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71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71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71" s="653">
        <v>7</v>
      </c>
      <c r="AC71" s="725">
        <f>(Примерочная!$U$7*VLOOKUP(Таблица_оружие[[#This Row],[название]],Таблица_моды_оружие[],11,0))</f>
        <v>0</v>
      </c>
      <c r="AD71" s="657"/>
      <c r="AE71" s="657">
        <v>19</v>
      </c>
      <c r="AF71" s="657"/>
      <c r="AG71" s="654"/>
      <c r="AH71" s="659">
        <v>1.25</v>
      </c>
      <c r="AI71" s="922">
        <f>Таблица_оружие[[#This Row],[крит множ]]+(Таблица_оружие[[#This Row],[крит множ]]*(Примерочная!$S$7*VLOOKUP(Примерочная!$V$2,Таблица_моды_оружие[],6,0)))</f>
        <v>1.25</v>
      </c>
      <c r="AJ71" s="930">
        <v>0.3</v>
      </c>
      <c r="AK71" s="560">
        <v>50</v>
      </c>
      <c r="AL71" s="560">
        <v>50</v>
      </c>
      <c r="AM71" s="739">
        <v>0</v>
      </c>
      <c r="AN71" s="967">
        <f>Таблица_оружие[[#This Row],[FH]]*(1+Примерочная!$U$7*VLOOKUP(Примерочная!$V$2,Таблица_моды_оружие[],11,0))-Таблица_оружие[[#This Row],[FH]]</f>
        <v>0</v>
      </c>
      <c r="AO71" s="968">
        <f>Таблица_оружие[[#This Row],[CH]]*(1+Примерочная!$U$7*VLOOKUP(Примерочная!$V$2,Таблица_моды_оружие[],11,0))-Таблица_оружие[[#This Row],[CH]]</f>
        <v>0</v>
      </c>
      <c r="AP71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72" spans="1:42" ht="33" customHeight="1" x14ac:dyDescent="0.25">
      <c r="A72" s="561" t="s">
        <v>199</v>
      </c>
      <c r="B72" s="722"/>
      <c r="C72" s="639">
        <v>28</v>
      </c>
      <c r="D72" s="639">
        <v>33.200000000000003</v>
      </c>
      <c r="E72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72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72" s="655">
        <f>SUM(Таблица_оружие[[#This Row],[урон макс.]]+Таблица_оружие[[#This Row],[урон мин.]])/2</f>
        <v>30.6</v>
      </c>
      <c r="H72" s="656">
        <f>SUM(Таблица_оружие[[#This Row],[урон макс.]]-Таблица_оружие[[#This Row],[урон мин.]])</f>
        <v>5.2000000000000028</v>
      </c>
      <c r="I72" s="645">
        <v>4</v>
      </c>
      <c r="J72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72" s="727">
        <f>Таблица_оружие[[#This Row],[урон макс.]]*Таблица_оружие[[#This Row],[крит множ]]</f>
        <v>46.480000000000004</v>
      </c>
      <c r="L72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72" s="640">
        <v>65</v>
      </c>
      <c r="N72" s="657">
        <v>75</v>
      </c>
      <c r="O72" s="657">
        <v>55</v>
      </c>
      <c r="P72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72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72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72" s="640">
        <v>0</v>
      </c>
      <c r="T72" s="657">
        <v>4</v>
      </c>
      <c r="U72" s="657">
        <v>0</v>
      </c>
      <c r="V72" s="657">
        <v>8</v>
      </c>
      <c r="W72" s="657">
        <v>9</v>
      </c>
      <c r="X72" s="657">
        <v>7</v>
      </c>
      <c r="Y72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72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72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72" s="653">
        <v>7</v>
      </c>
      <c r="AC72" s="725">
        <f>(Примерочная!$U$7*VLOOKUP(Таблица_оружие[[#This Row],[название]],Таблица_моды_оружие[],11,0))</f>
        <v>0</v>
      </c>
      <c r="AD72" s="657"/>
      <c r="AE72" s="657">
        <v>21</v>
      </c>
      <c r="AF72" s="657"/>
      <c r="AG72" s="654"/>
      <c r="AH72" s="659">
        <v>1.4</v>
      </c>
      <c r="AI72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72" s="931">
        <v>0.3</v>
      </c>
      <c r="AK72" s="360">
        <v>50</v>
      </c>
      <c r="AL72" s="360">
        <v>50</v>
      </c>
      <c r="AM72" s="559">
        <v>0</v>
      </c>
      <c r="AN72" s="967">
        <f>Таблица_оружие[[#This Row],[FH]]*(1+Примерочная!$U$7*VLOOKUP(Примерочная!$V$2,Таблица_моды_оружие[],11,0))-Таблица_оружие[[#This Row],[FH]]</f>
        <v>0</v>
      </c>
      <c r="AO72" s="968">
        <f>Таблица_оружие[[#This Row],[CH]]*(1+Примерочная!$U$7*VLOOKUP(Примерочная!$V$2,Таблица_моды_оружие[],11,0))-Таблица_оружие[[#This Row],[CH]]</f>
        <v>0</v>
      </c>
      <c r="AP72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73" spans="1:42" ht="33" customHeight="1" x14ac:dyDescent="0.25">
      <c r="A73" s="561" t="s">
        <v>200</v>
      </c>
      <c r="B73" s="722"/>
      <c r="C73" s="639">
        <v>24.2</v>
      </c>
      <c r="D73" s="639">
        <v>28</v>
      </c>
      <c r="E73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73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73" s="655">
        <f>SUM(Таблица_оружие[[#This Row],[урон макс.]]+Таблица_оружие[[#This Row],[урон мин.]])/2</f>
        <v>26.1</v>
      </c>
      <c r="H73" s="656">
        <f>SUM(Таблица_оружие[[#This Row],[урон макс.]]-Таблица_оружие[[#This Row],[урон мин.]])</f>
        <v>3.8000000000000007</v>
      </c>
      <c r="I73" s="645">
        <v>6</v>
      </c>
      <c r="J73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73" s="727">
        <f>Таблица_оружие[[#This Row],[урон макс.]]*Таблица_оружие[[#This Row],[крит множ]]</f>
        <v>35</v>
      </c>
      <c r="L73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73" s="640">
        <v>70</v>
      </c>
      <c r="N73" s="657">
        <v>85</v>
      </c>
      <c r="O73" s="657">
        <v>65</v>
      </c>
      <c r="P73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73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73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73" s="640">
        <v>0</v>
      </c>
      <c r="T73" s="657">
        <v>4</v>
      </c>
      <c r="U73" s="657">
        <v>0</v>
      </c>
      <c r="V73" s="657">
        <v>10</v>
      </c>
      <c r="W73" s="657">
        <v>11</v>
      </c>
      <c r="X73" s="657">
        <v>9</v>
      </c>
      <c r="Y73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73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73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73" s="653">
        <v>7</v>
      </c>
      <c r="AC73" s="725">
        <f>(Примерочная!$U$7*VLOOKUP(Таблица_оружие[[#This Row],[название]],Таблица_моды_оружие[],11,0))</f>
        <v>0</v>
      </c>
      <c r="AD73" s="657"/>
      <c r="AE73" s="657">
        <v>21</v>
      </c>
      <c r="AF73" s="657"/>
      <c r="AG73" s="654"/>
      <c r="AH73" s="659">
        <v>1.25</v>
      </c>
      <c r="AI73" s="922">
        <f>Таблица_оружие[[#This Row],[крит множ]]+(Таблица_оружие[[#This Row],[крит множ]]*(Примерочная!$S$7*VLOOKUP(Примерочная!$V$2,Таблица_моды_оружие[],6,0)))</f>
        <v>1.25</v>
      </c>
      <c r="AJ73" s="930">
        <v>0.3</v>
      </c>
      <c r="AK73" s="560">
        <v>50</v>
      </c>
      <c r="AL73" s="560">
        <v>50</v>
      </c>
      <c r="AM73" s="739">
        <v>0</v>
      </c>
      <c r="AN73" s="967">
        <f>Таблица_оружие[[#This Row],[FH]]*(1+Примерочная!$U$7*VLOOKUP(Примерочная!$V$2,Таблица_моды_оружие[],11,0))-Таблица_оружие[[#This Row],[FH]]</f>
        <v>0</v>
      </c>
      <c r="AO73" s="968">
        <f>Таблица_оружие[[#This Row],[CH]]*(1+Примерочная!$U$7*VLOOKUP(Примерочная!$V$2,Таблица_моды_оружие[],11,0))-Таблица_оружие[[#This Row],[CH]]</f>
        <v>0</v>
      </c>
      <c r="AP73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74" spans="1:42" ht="33" customHeight="1" x14ac:dyDescent="0.25">
      <c r="A74" s="561" t="s">
        <v>201</v>
      </c>
      <c r="B74" s="722"/>
      <c r="C74" s="639">
        <v>31.3</v>
      </c>
      <c r="D74" s="639">
        <v>37.1</v>
      </c>
      <c r="E74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74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74" s="655">
        <f>SUM(Таблица_оружие[[#This Row],[урон макс.]]+Таблица_оружие[[#This Row],[урон мин.]])/2</f>
        <v>34.200000000000003</v>
      </c>
      <c r="H74" s="656">
        <f>SUM(Таблица_оружие[[#This Row],[урон макс.]]-Таблица_оружие[[#This Row],[урон мин.]])</f>
        <v>5.8000000000000007</v>
      </c>
      <c r="I74" s="645">
        <v>4</v>
      </c>
      <c r="J74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74" s="727">
        <f>Таблица_оружие[[#This Row],[урон макс.]]*Таблица_оружие[[#This Row],[крит множ]]</f>
        <v>51.94</v>
      </c>
      <c r="L74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74" s="640">
        <v>65</v>
      </c>
      <c r="N74" s="657">
        <v>75</v>
      </c>
      <c r="O74" s="657">
        <v>55</v>
      </c>
      <c r="P74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74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74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74" s="640">
        <v>0</v>
      </c>
      <c r="T74" s="657">
        <v>4</v>
      </c>
      <c r="U74" s="657">
        <v>0</v>
      </c>
      <c r="V74" s="657">
        <v>8</v>
      </c>
      <c r="W74" s="657">
        <v>9</v>
      </c>
      <c r="X74" s="657">
        <v>7</v>
      </c>
      <c r="Y74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74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74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74" s="653">
        <v>7</v>
      </c>
      <c r="AC74" s="725">
        <f>(Примерочная!$U$7*VLOOKUP(Таблица_оружие[[#This Row],[название]],Таблица_моды_оружие[],11,0))</f>
        <v>0</v>
      </c>
      <c r="AD74" s="657"/>
      <c r="AE74" s="657">
        <v>23</v>
      </c>
      <c r="AF74" s="657"/>
      <c r="AG74" s="654"/>
      <c r="AH74" s="659">
        <v>1.4</v>
      </c>
      <c r="AI74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74" s="931">
        <v>0.3</v>
      </c>
      <c r="AK74" s="360">
        <v>50</v>
      </c>
      <c r="AL74" s="360">
        <v>50</v>
      </c>
      <c r="AM74" s="559">
        <v>0</v>
      </c>
      <c r="AN74" s="967">
        <f>Таблица_оружие[[#This Row],[FH]]*(1+Примерочная!$U$7*VLOOKUP(Примерочная!$V$2,Таблица_моды_оружие[],11,0))-Таблица_оружие[[#This Row],[FH]]</f>
        <v>0</v>
      </c>
      <c r="AO74" s="968">
        <f>Таблица_оружие[[#This Row],[CH]]*(1+Примерочная!$U$7*VLOOKUP(Примерочная!$V$2,Таблица_моды_оружие[],11,0))-Таблица_оружие[[#This Row],[CH]]</f>
        <v>0</v>
      </c>
      <c r="AP74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75" spans="1:42" ht="33" customHeight="1" x14ac:dyDescent="0.25">
      <c r="A75" s="561" t="s">
        <v>202</v>
      </c>
      <c r="B75" s="722"/>
      <c r="C75" s="639">
        <v>26.5</v>
      </c>
      <c r="D75" s="639">
        <v>32.5</v>
      </c>
      <c r="E75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75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75" s="655">
        <f>SUM(Таблица_оружие[[#This Row],[урон макс.]]+Таблица_оружие[[#This Row],[урон мин.]])/2</f>
        <v>29.5</v>
      </c>
      <c r="H75" s="656">
        <f>SUM(Таблица_оружие[[#This Row],[урон макс.]]-Таблица_оружие[[#This Row],[урон мин.]])</f>
        <v>6</v>
      </c>
      <c r="I75" s="645">
        <v>6</v>
      </c>
      <c r="J75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75" s="727">
        <f>Таблица_оружие[[#This Row],[урон макс.]]*Таблица_оружие[[#This Row],[крит множ]]</f>
        <v>40.625</v>
      </c>
      <c r="L75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75" s="640">
        <v>70</v>
      </c>
      <c r="N75" s="657">
        <v>85</v>
      </c>
      <c r="O75" s="657">
        <v>65</v>
      </c>
      <c r="P75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75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75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75" s="640">
        <v>0</v>
      </c>
      <c r="T75" s="657">
        <v>4</v>
      </c>
      <c r="U75" s="657">
        <v>0</v>
      </c>
      <c r="V75" s="657">
        <v>10</v>
      </c>
      <c r="W75" s="657">
        <v>11</v>
      </c>
      <c r="X75" s="657">
        <v>9</v>
      </c>
      <c r="Y75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75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75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75" s="653">
        <v>7</v>
      </c>
      <c r="AC75" s="725">
        <f>(Примерочная!$U$7*VLOOKUP(Таблица_оружие[[#This Row],[название]],Таблица_моды_оружие[],11,0))</f>
        <v>0</v>
      </c>
      <c r="AD75" s="657"/>
      <c r="AE75" s="657">
        <v>23</v>
      </c>
      <c r="AF75" s="657"/>
      <c r="AG75" s="654"/>
      <c r="AH75" s="659">
        <v>1.25</v>
      </c>
      <c r="AI75" s="922">
        <f>Таблица_оружие[[#This Row],[крит множ]]+(Таблица_оружие[[#This Row],[крит множ]]*(Примерочная!$S$7*VLOOKUP(Примерочная!$V$2,Таблица_моды_оружие[],6,0)))</f>
        <v>1.25</v>
      </c>
      <c r="AJ75" s="930">
        <v>0.3</v>
      </c>
      <c r="AK75" s="560">
        <v>50</v>
      </c>
      <c r="AL75" s="560">
        <v>50</v>
      </c>
      <c r="AM75" s="739">
        <v>0</v>
      </c>
      <c r="AN75" s="967">
        <f>Таблица_оружие[[#This Row],[FH]]*(1+Примерочная!$U$7*VLOOKUP(Примерочная!$V$2,Таблица_моды_оружие[],11,0))-Таблица_оружие[[#This Row],[FH]]</f>
        <v>0</v>
      </c>
      <c r="AO75" s="968">
        <f>Таблица_оружие[[#This Row],[CH]]*(1+Примерочная!$U$7*VLOOKUP(Примерочная!$V$2,Таблица_моды_оружие[],11,0))-Таблица_оружие[[#This Row],[CH]]</f>
        <v>0</v>
      </c>
      <c r="AP75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76" spans="1:42" ht="33" customHeight="1" x14ac:dyDescent="0.25">
      <c r="A76" s="561" t="s">
        <v>203</v>
      </c>
      <c r="B76" s="722"/>
      <c r="C76" s="639">
        <v>34</v>
      </c>
      <c r="D76" s="639">
        <v>42.8</v>
      </c>
      <c r="E76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76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76" s="655">
        <f>SUM(Таблица_оружие[[#This Row],[урон макс.]]+Таблица_оружие[[#This Row],[урон мин.]])/2</f>
        <v>38.4</v>
      </c>
      <c r="H76" s="656">
        <f>SUM(Таблица_оружие[[#This Row],[урон макс.]]-Таблица_оружие[[#This Row],[урон мин.]])</f>
        <v>8.7999999999999972</v>
      </c>
      <c r="I76" s="645">
        <v>4</v>
      </c>
      <c r="J76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76" s="727">
        <f>Таблица_оружие[[#This Row],[урон макс.]]*Таблица_оружие[[#This Row],[крит множ]]</f>
        <v>59.919999999999995</v>
      </c>
      <c r="L76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76" s="640">
        <v>65</v>
      </c>
      <c r="N76" s="657">
        <v>75</v>
      </c>
      <c r="O76" s="657">
        <v>55</v>
      </c>
      <c r="P76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76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76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76" s="640">
        <v>0</v>
      </c>
      <c r="T76" s="657">
        <v>4</v>
      </c>
      <c r="U76" s="657">
        <v>0</v>
      </c>
      <c r="V76" s="657">
        <v>8</v>
      </c>
      <c r="W76" s="657">
        <v>9</v>
      </c>
      <c r="X76" s="657">
        <v>7</v>
      </c>
      <c r="Y76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76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76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76" s="653">
        <v>7</v>
      </c>
      <c r="AC76" s="725">
        <f>(Примерочная!$U$7*VLOOKUP(Таблица_оружие[[#This Row],[название]],Таблица_моды_оружие[],11,0))</f>
        <v>0</v>
      </c>
      <c r="AD76" s="657"/>
      <c r="AE76" s="657">
        <v>25</v>
      </c>
      <c r="AF76" s="657"/>
      <c r="AG76" s="654"/>
      <c r="AH76" s="659">
        <v>1.4</v>
      </c>
      <c r="AI76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76" s="931">
        <v>0.3</v>
      </c>
      <c r="AK76" s="360">
        <v>50</v>
      </c>
      <c r="AL76" s="360">
        <v>50</v>
      </c>
      <c r="AM76" s="559">
        <v>0</v>
      </c>
      <c r="AN76" s="967">
        <f>Таблица_оружие[[#This Row],[FH]]*(1+Примерочная!$U$7*VLOOKUP(Примерочная!$V$2,Таблица_моды_оружие[],11,0))-Таблица_оружие[[#This Row],[FH]]</f>
        <v>0</v>
      </c>
      <c r="AO76" s="968">
        <f>Таблица_оружие[[#This Row],[CH]]*(1+Примерочная!$U$7*VLOOKUP(Примерочная!$V$2,Таблица_моды_оружие[],11,0))-Таблица_оружие[[#This Row],[CH]]</f>
        <v>0</v>
      </c>
      <c r="AP76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77" spans="1:42" ht="33" customHeight="1" x14ac:dyDescent="0.25">
      <c r="A77" s="561" t="s">
        <v>307</v>
      </c>
      <c r="B77" s="722"/>
      <c r="C77" s="639">
        <v>30</v>
      </c>
      <c r="D77" s="639">
        <v>37.200000000000003</v>
      </c>
      <c r="E77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77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77" s="655">
        <f>SUM(Таблица_оружие[[#This Row],[урон макс.]]+Таблица_оружие[[#This Row],[урон мин.]])/2</f>
        <v>33.6</v>
      </c>
      <c r="H77" s="656">
        <f>SUM(Таблица_оружие[[#This Row],[урон макс.]]-Таблица_оружие[[#This Row],[урон мин.]])</f>
        <v>7.2000000000000028</v>
      </c>
      <c r="I77" s="645">
        <v>6</v>
      </c>
      <c r="J77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77" s="727">
        <f>Таблица_оружие[[#This Row],[урон макс.]]*Таблица_оружие[[#This Row],[крит множ]]</f>
        <v>46.5</v>
      </c>
      <c r="L77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77" s="640">
        <v>70</v>
      </c>
      <c r="N77" s="657">
        <v>85</v>
      </c>
      <c r="O77" s="657">
        <v>65</v>
      </c>
      <c r="P77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77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77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77" s="640">
        <v>0</v>
      </c>
      <c r="T77" s="657">
        <v>4</v>
      </c>
      <c r="U77" s="657">
        <v>0</v>
      </c>
      <c r="V77" s="657">
        <v>10</v>
      </c>
      <c r="W77" s="657">
        <v>11</v>
      </c>
      <c r="X77" s="657">
        <v>9</v>
      </c>
      <c r="Y77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77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77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77" s="653">
        <v>7</v>
      </c>
      <c r="AC77" s="725">
        <f>(Примерочная!$U$7*VLOOKUP(Таблица_оружие[[#This Row],[название]],Таблица_моды_оружие[],11,0))</f>
        <v>0</v>
      </c>
      <c r="AD77" s="657"/>
      <c r="AE77" s="657">
        <v>25</v>
      </c>
      <c r="AF77" s="657"/>
      <c r="AG77" s="654"/>
      <c r="AH77" s="659">
        <v>1.25</v>
      </c>
      <c r="AI77" s="922">
        <f>Таблица_оружие[[#This Row],[крит множ]]+(Таблица_оружие[[#This Row],[крит множ]]*(Примерочная!$S$7*VLOOKUP(Примерочная!$V$2,Таблица_моды_оружие[],6,0)))</f>
        <v>1.25</v>
      </c>
      <c r="AJ77" s="930">
        <v>0.3</v>
      </c>
      <c r="AK77" s="560">
        <v>50</v>
      </c>
      <c r="AL77" s="560">
        <v>50</v>
      </c>
      <c r="AM77" s="739">
        <v>0</v>
      </c>
      <c r="AN77" s="967">
        <f>Таблица_оружие[[#This Row],[FH]]*(1+Примерочная!$U$7*VLOOKUP(Примерочная!$V$2,Таблица_моды_оружие[],11,0))-Таблица_оружие[[#This Row],[FH]]</f>
        <v>0</v>
      </c>
      <c r="AO77" s="968">
        <f>Таблица_оружие[[#This Row],[CH]]*(1+Примерочная!$U$7*VLOOKUP(Примерочная!$V$2,Таблица_моды_оружие[],11,0))-Таблица_оружие[[#This Row],[CH]]</f>
        <v>0</v>
      </c>
      <c r="AP77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78" spans="1:42" ht="33" customHeight="1" x14ac:dyDescent="0.25">
      <c r="A78" s="561" t="s">
        <v>305</v>
      </c>
      <c r="B78" s="722"/>
      <c r="C78" s="639">
        <v>37</v>
      </c>
      <c r="D78" s="639">
        <v>46</v>
      </c>
      <c r="E78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78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78" s="655">
        <f>SUM(Таблица_оружие[[#This Row],[урон макс.]]+Таблица_оружие[[#This Row],[урон мин.]])/2</f>
        <v>41.5</v>
      </c>
      <c r="H78" s="656">
        <f>SUM(Таблица_оружие[[#This Row],[урон макс.]]-Таблица_оружие[[#This Row],[урон мин.]])</f>
        <v>9</v>
      </c>
      <c r="I78" s="645">
        <v>4</v>
      </c>
      <c r="J78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78" s="727">
        <f>Таблица_оружие[[#This Row],[урон макс.]]*Таблица_оружие[[#This Row],[крит множ]]</f>
        <v>64.399999999999991</v>
      </c>
      <c r="L78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78" s="640">
        <v>65</v>
      </c>
      <c r="N78" s="657">
        <v>75</v>
      </c>
      <c r="O78" s="657">
        <v>55</v>
      </c>
      <c r="P78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78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78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78" s="640">
        <v>0</v>
      </c>
      <c r="T78" s="657">
        <v>4</v>
      </c>
      <c r="U78" s="657">
        <v>0</v>
      </c>
      <c r="V78" s="657">
        <v>8</v>
      </c>
      <c r="W78" s="657">
        <v>9</v>
      </c>
      <c r="X78" s="657">
        <v>7</v>
      </c>
      <c r="Y78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78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78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78" s="653">
        <v>7</v>
      </c>
      <c r="AC78" s="725">
        <f>(Примерочная!$U$7*VLOOKUP(Таблица_оружие[[#This Row],[название]],Таблица_моды_оружие[],11,0))</f>
        <v>0</v>
      </c>
      <c r="AD78" s="657"/>
      <c r="AE78" s="657">
        <v>29</v>
      </c>
      <c r="AF78" s="657"/>
      <c r="AG78" s="654"/>
      <c r="AH78" s="659">
        <v>1.4</v>
      </c>
      <c r="AI78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78" s="931">
        <v>0.3</v>
      </c>
      <c r="AK78" s="360">
        <v>50</v>
      </c>
      <c r="AL78" s="360">
        <v>50</v>
      </c>
      <c r="AM78" s="559">
        <v>0</v>
      </c>
      <c r="AN78" s="967">
        <f>Таблица_оружие[[#This Row],[FH]]*(1+Примерочная!$U$7*VLOOKUP(Примерочная!$V$2,Таблица_моды_оружие[],11,0))-Таблица_оружие[[#This Row],[FH]]</f>
        <v>0</v>
      </c>
      <c r="AO78" s="968">
        <f>Таблица_оружие[[#This Row],[CH]]*(1+Примерочная!$U$7*VLOOKUP(Примерочная!$V$2,Таблица_моды_оружие[],11,0))-Таблица_оружие[[#This Row],[CH]]</f>
        <v>0</v>
      </c>
      <c r="AP78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79" spans="1:42" ht="33" customHeight="1" x14ac:dyDescent="0.25">
      <c r="A79" s="561" t="s">
        <v>306</v>
      </c>
      <c r="B79" s="722"/>
      <c r="C79" s="639">
        <v>33</v>
      </c>
      <c r="D79" s="639">
        <v>40</v>
      </c>
      <c r="E79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79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79" s="655">
        <f>SUM(Таблица_оружие[[#This Row],[урон макс.]]+Таблица_оружие[[#This Row],[урон мин.]])/2</f>
        <v>36.5</v>
      </c>
      <c r="H79" s="656">
        <f>SUM(Таблица_оружие[[#This Row],[урон макс.]]-Таблица_оружие[[#This Row],[урон мин.]])</f>
        <v>7</v>
      </c>
      <c r="I79" s="645">
        <v>6</v>
      </c>
      <c r="J79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79" s="727">
        <f>Таблица_оружие[[#This Row],[урон макс.]]*Таблица_оружие[[#This Row],[крит множ]]</f>
        <v>50</v>
      </c>
      <c r="L79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79" s="640">
        <v>70</v>
      </c>
      <c r="N79" s="657">
        <v>85</v>
      </c>
      <c r="O79" s="657">
        <v>65</v>
      </c>
      <c r="P79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79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79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79" s="640">
        <v>0</v>
      </c>
      <c r="T79" s="657">
        <v>4</v>
      </c>
      <c r="U79" s="657">
        <v>0</v>
      </c>
      <c r="V79" s="657">
        <v>10</v>
      </c>
      <c r="W79" s="657">
        <v>11</v>
      </c>
      <c r="X79" s="657">
        <v>9</v>
      </c>
      <c r="Y79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79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79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79" s="653">
        <v>7</v>
      </c>
      <c r="AC79" s="725">
        <f>(Примерочная!$U$7*VLOOKUP(Таблица_оружие[[#This Row],[название]],Таблица_моды_оружие[],11,0))</f>
        <v>0</v>
      </c>
      <c r="AD79" s="657"/>
      <c r="AE79" s="657">
        <v>29</v>
      </c>
      <c r="AF79" s="657"/>
      <c r="AG79" s="654"/>
      <c r="AH79" s="659">
        <v>1.25</v>
      </c>
      <c r="AI79" s="922">
        <f>Таблица_оружие[[#This Row],[крит множ]]+(Таблица_оружие[[#This Row],[крит множ]]*(Примерочная!$S$7*VLOOKUP(Примерочная!$V$2,Таблица_моды_оружие[],6,0)))</f>
        <v>1.25</v>
      </c>
      <c r="AJ79" s="930">
        <v>0.3</v>
      </c>
      <c r="AK79" s="560">
        <v>50</v>
      </c>
      <c r="AL79" s="560">
        <v>50</v>
      </c>
      <c r="AM79" s="739">
        <v>0</v>
      </c>
      <c r="AN79" s="967">
        <f>Таблица_оружие[[#This Row],[FH]]*(1+Примерочная!$U$7*VLOOKUP(Примерочная!$V$2,Таблица_моды_оружие[],11,0))-Таблица_оружие[[#This Row],[FH]]</f>
        <v>0</v>
      </c>
      <c r="AO79" s="968">
        <f>Таблица_оружие[[#This Row],[CH]]*(1+Примерочная!$U$7*VLOOKUP(Примерочная!$V$2,Таблица_моды_оружие[],11,0))-Таблица_оружие[[#This Row],[CH]]</f>
        <v>0</v>
      </c>
      <c r="AP79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80" spans="1:42" s="678" customFormat="1" ht="33" customHeight="1" x14ac:dyDescent="0.2">
      <c r="A80" s="561" t="s">
        <v>204</v>
      </c>
      <c r="B80" s="722"/>
      <c r="C80" s="639">
        <v>41</v>
      </c>
      <c r="D80" s="639">
        <v>51</v>
      </c>
      <c r="E80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80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80" s="655">
        <f>SUM(Таблица_оружие[[#This Row],[урон макс.]]+Таблица_оружие[[#This Row],[урон мин.]])/2</f>
        <v>46</v>
      </c>
      <c r="H80" s="656">
        <f>SUM(Таблица_оружие[[#This Row],[урон макс.]]-Таблица_оружие[[#This Row],[урон мин.]])</f>
        <v>10</v>
      </c>
      <c r="I80" s="645">
        <v>4</v>
      </c>
      <c r="J80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80" s="727">
        <f>Таблица_оружие[[#This Row],[урон макс.]]*Таблица_оружие[[#This Row],[крит множ]]</f>
        <v>71.399999999999991</v>
      </c>
      <c r="L80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80" s="640">
        <v>65</v>
      </c>
      <c r="N80" s="657">
        <v>75</v>
      </c>
      <c r="O80" s="657">
        <v>55</v>
      </c>
      <c r="P80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80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80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80" s="640">
        <v>0</v>
      </c>
      <c r="T80" s="657">
        <v>4</v>
      </c>
      <c r="U80" s="657">
        <v>0</v>
      </c>
      <c r="V80" s="657">
        <v>8</v>
      </c>
      <c r="W80" s="657">
        <v>9</v>
      </c>
      <c r="X80" s="657">
        <v>7</v>
      </c>
      <c r="Y80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80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80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80" s="653">
        <v>7</v>
      </c>
      <c r="AC80" s="725">
        <f>(Примерочная!$U$7*VLOOKUP(Таблица_оружие[[#This Row],[название]],Таблица_моды_оружие[],11,0))</f>
        <v>0</v>
      </c>
      <c r="AD80" s="657"/>
      <c r="AE80" s="657">
        <v>35</v>
      </c>
      <c r="AF80" s="657"/>
      <c r="AG80" s="654"/>
      <c r="AH80" s="659">
        <v>1.4</v>
      </c>
      <c r="AI80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80" s="931">
        <v>0.3</v>
      </c>
      <c r="AK80" s="360">
        <v>50</v>
      </c>
      <c r="AL80" s="360">
        <v>50</v>
      </c>
      <c r="AM80" s="559">
        <v>0</v>
      </c>
      <c r="AN80" s="967">
        <f>Таблица_оружие[[#This Row],[FH]]*(1+Примерочная!$U$7*VLOOKUP(Примерочная!$V$2,Таблица_моды_оружие[],11,0))-Таблица_оружие[[#This Row],[FH]]</f>
        <v>0</v>
      </c>
      <c r="AO80" s="968">
        <f>Таблица_оружие[[#This Row],[CH]]*(1+Примерочная!$U$7*VLOOKUP(Примерочная!$V$2,Таблица_моды_оружие[],11,0))-Таблица_оружие[[#This Row],[CH]]</f>
        <v>0</v>
      </c>
      <c r="AP80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81" spans="1:42" ht="33" customHeight="1" x14ac:dyDescent="0.25">
      <c r="A81" s="561" t="s">
        <v>205</v>
      </c>
      <c r="B81" s="722"/>
      <c r="C81" s="639">
        <v>36</v>
      </c>
      <c r="D81" s="639">
        <v>43</v>
      </c>
      <c r="E81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81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81" s="655">
        <f>SUM(Таблица_оружие[[#This Row],[урон макс.]]+Таблица_оружие[[#This Row],[урон мин.]])/2</f>
        <v>39.5</v>
      </c>
      <c r="H81" s="656">
        <f>SUM(Таблица_оружие[[#This Row],[урон макс.]]-Таблица_оружие[[#This Row],[урон мин.]])</f>
        <v>7</v>
      </c>
      <c r="I81" s="645">
        <v>6</v>
      </c>
      <c r="J81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81" s="727">
        <f>Таблица_оружие[[#This Row],[урон макс.]]*Таблица_оружие[[#This Row],[крит множ]]</f>
        <v>53.75</v>
      </c>
      <c r="L81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81" s="640">
        <v>70</v>
      </c>
      <c r="N81" s="657">
        <v>85</v>
      </c>
      <c r="O81" s="657">
        <v>65</v>
      </c>
      <c r="P81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81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81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81" s="640">
        <v>0</v>
      </c>
      <c r="T81" s="657">
        <v>4</v>
      </c>
      <c r="U81" s="657">
        <v>0</v>
      </c>
      <c r="V81" s="657">
        <v>10</v>
      </c>
      <c r="W81" s="657">
        <v>11</v>
      </c>
      <c r="X81" s="657">
        <v>9</v>
      </c>
      <c r="Y81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81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81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81" s="653">
        <v>7</v>
      </c>
      <c r="AC81" s="725">
        <f>(Примерочная!$U$7*VLOOKUP(Таблица_оружие[[#This Row],[название]],Таблица_моды_оружие[],11,0))</f>
        <v>0</v>
      </c>
      <c r="AD81" s="657"/>
      <c r="AE81" s="657">
        <v>35</v>
      </c>
      <c r="AF81" s="657"/>
      <c r="AG81" s="654"/>
      <c r="AH81" s="659">
        <v>1.25</v>
      </c>
      <c r="AI81" s="922">
        <f>Таблица_оружие[[#This Row],[крит множ]]+(Таблица_оружие[[#This Row],[крит множ]]*(Примерочная!$S$7*VLOOKUP(Примерочная!$V$2,Таблица_моды_оружие[],6,0)))</f>
        <v>1.25</v>
      </c>
      <c r="AJ81" s="930">
        <v>0.3</v>
      </c>
      <c r="AK81" s="560">
        <v>50</v>
      </c>
      <c r="AL81" s="560">
        <v>50</v>
      </c>
      <c r="AM81" s="739">
        <v>0</v>
      </c>
      <c r="AN81" s="967">
        <f>Таблица_оружие[[#This Row],[FH]]*(1+Примерочная!$U$7*VLOOKUP(Примерочная!$V$2,Таблица_моды_оружие[],11,0))-Таблица_оружие[[#This Row],[FH]]</f>
        <v>0</v>
      </c>
      <c r="AO81" s="968">
        <f>Таблица_оружие[[#This Row],[CH]]*(1+Примерочная!$U$7*VLOOKUP(Примерочная!$V$2,Таблица_моды_оружие[],11,0))-Таблица_оружие[[#This Row],[CH]]</f>
        <v>0</v>
      </c>
      <c r="AP81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82" spans="1:42" s="702" customFormat="1" ht="33" customHeight="1" thickBot="1" x14ac:dyDescent="0.3">
      <c r="A82" s="653"/>
      <c r="B82" s="654"/>
      <c r="C82" s="732"/>
      <c r="D82" s="737"/>
      <c r="E82" s="715"/>
      <c r="F82" s="716"/>
      <c r="G82" s="655"/>
      <c r="H82" s="656"/>
      <c r="I82" s="647"/>
      <c r="J82" s="716"/>
      <c r="K82" s="732"/>
      <c r="L82" s="604"/>
      <c r="M82" s="641"/>
      <c r="N82" s="714"/>
      <c r="O82" s="714"/>
      <c r="P82" s="603"/>
      <c r="Q82" s="603"/>
      <c r="R82" s="604"/>
      <c r="S82" s="641"/>
      <c r="T82" s="714"/>
      <c r="U82" s="714"/>
      <c r="V82" s="714"/>
      <c r="W82" s="714"/>
      <c r="X82" s="714"/>
      <c r="Y82" s="715"/>
      <c r="Z82" s="715"/>
      <c r="AA82" s="716"/>
      <c r="AB82" s="653"/>
      <c r="AC82" s="657"/>
      <c r="AD82" s="657"/>
      <c r="AE82" s="657"/>
      <c r="AF82" s="657"/>
      <c r="AG82" s="654"/>
      <c r="AH82" s="706"/>
      <c r="AI82" s="924"/>
      <c r="AJ82" s="641"/>
      <c r="AK82" s="714"/>
      <c r="AL82" s="714"/>
      <c r="AM82" s="963"/>
      <c r="AN82" s="952"/>
      <c r="AO82" s="953"/>
      <c r="AP82" s="954"/>
    </row>
    <row r="83" spans="1:42" s="677" customFormat="1" ht="33" customHeight="1" thickBot="1" x14ac:dyDescent="0.3">
      <c r="A83" s="673" t="s">
        <v>376</v>
      </c>
      <c r="B83" s="661"/>
      <c r="C83" s="730"/>
      <c r="D83" s="730"/>
      <c r="E83" s="709"/>
      <c r="F83" s="709"/>
      <c r="G83" s="680"/>
      <c r="H83" s="681"/>
      <c r="I83" s="720"/>
      <c r="J83" s="709"/>
      <c r="K83" s="730"/>
      <c r="L83" s="717"/>
      <c r="M83" s="708"/>
      <c r="N83" s="708"/>
      <c r="O83" s="708"/>
      <c r="P83" s="717"/>
      <c r="Q83" s="717"/>
      <c r="R83" s="717"/>
      <c r="S83" s="708"/>
      <c r="T83" s="708"/>
      <c r="U83" s="708"/>
      <c r="V83" s="708"/>
      <c r="W83" s="708"/>
      <c r="X83" s="708"/>
      <c r="Y83" s="709"/>
      <c r="Z83" s="709"/>
      <c r="AA83" s="709"/>
      <c r="AB83" s="661"/>
      <c r="AC83" s="661"/>
      <c r="AD83" s="687"/>
      <c r="AE83" s="687"/>
      <c r="AF83" s="687"/>
      <c r="AG83" s="687"/>
      <c r="AH83" s="704"/>
      <c r="AI83" s="701"/>
      <c r="AJ83" s="966"/>
      <c r="AK83" s="685"/>
      <c r="AL83" s="685"/>
      <c r="AM83" s="740"/>
      <c r="AN83" s="956"/>
      <c r="AO83" s="957"/>
      <c r="AP83" s="958"/>
    </row>
    <row r="84" spans="1:42" s="702" customFormat="1" ht="33" customHeight="1" x14ac:dyDescent="0.25">
      <c r="A84" s="653"/>
      <c r="B84" s="654"/>
      <c r="C84" s="731"/>
      <c r="D84" s="736"/>
      <c r="E84" s="712"/>
      <c r="F84" s="713"/>
      <c r="G84" s="655"/>
      <c r="H84" s="656"/>
      <c r="I84" s="721"/>
      <c r="J84" s="713"/>
      <c r="K84" s="731"/>
      <c r="L84" s="719"/>
      <c r="M84" s="710"/>
      <c r="N84" s="711"/>
      <c r="O84" s="711"/>
      <c r="P84" s="718"/>
      <c r="Q84" s="718"/>
      <c r="R84" s="719"/>
      <c r="S84" s="710"/>
      <c r="T84" s="711"/>
      <c r="U84" s="711"/>
      <c r="V84" s="711"/>
      <c r="W84" s="711"/>
      <c r="X84" s="711"/>
      <c r="Y84" s="712"/>
      <c r="Z84" s="712"/>
      <c r="AA84" s="713"/>
      <c r="AB84" s="707"/>
      <c r="AC84" s="657"/>
      <c r="AD84" s="657"/>
      <c r="AE84" s="657"/>
      <c r="AF84" s="657"/>
      <c r="AG84" s="654"/>
      <c r="AH84" s="705"/>
      <c r="AI84" s="923"/>
      <c r="AJ84" s="710"/>
      <c r="AK84" s="711"/>
      <c r="AL84" s="711"/>
      <c r="AM84" s="959"/>
      <c r="AN84" s="960"/>
      <c r="AO84" s="961"/>
      <c r="AP84" s="962"/>
    </row>
    <row r="85" spans="1:42" ht="33" customHeight="1" x14ac:dyDescent="0.25">
      <c r="A85" s="653" t="s">
        <v>206</v>
      </c>
      <c r="B85" s="722"/>
      <c r="C85" s="639">
        <v>8.1</v>
      </c>
      <c r="D85" s="639">
        <v>9</v>
      </c>
      <c r="E85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85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85" s="655">
        <f>SUM(Таблица_оружие[[#This Row],[урон макс.]]+Таблица_оружие[[#This Row],[урон мин.]])/2</f>
        <v>8.5500000000000007</v>
      </c>
      <c r="H85" s="656">
        <f>SUM(Таблица_оружие[[#This Row],[урон макс.]]-Таблица_оружие[[#This Row],[урон мин.]])</f>
        <v>0.90000000000000036</v>
      </c>
      <c r="I85" s="645">
        <v>5</v>
      </c>
      <c r="J85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85" s="727">
        <f>Таблица_оружие[[#This Row],[урон макс.]]*Таблица_оружие[[#This Row],[крит множ]]</f>
        <v>12.6</v>
      </c>
      <c r="L85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85" s="640">
        <v>80</v>
      </c>
      <c r="N85" s="657">
        <v>75</v>
      </c>
      <c r="O85" s="657">
        <v>70</v>
      </c>
      <c r="P85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85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85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85" s="640">
        <v>3</v>
      </c>
      <c r="T85" s="657">
        <v>4</v>
      </c>
      <c r="U85" s="657">
        <v>5</v>
      </c>
      <c r="V85" s="657">
        <v>11</v>
      </c>
      <c r="W85" s="657">
        <v>10</v>
      </c>
      <c r="X85" s="657">
        <v>9</v>
      </c>
      <c r="Y85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85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85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85" s="653">
        <v>4</v>
      </c>
      <c r="AC85" s="725">
        <f>(Примерочная!$U$7*VLOOKUP(Таблица_оружие[[#This Row],[название]],Таблица_моды_оружие[],11,0))</f>
        <v>0</v>
      </c>
      <c r="AD85" s="657"/>
      <c r="AE85" s="657"/>
      <c r="AF85" s="657"/>
      <c r="AG85" s="654"/>
      <c r="AH85" s="659">
        <v>1.4</v>
      </c>
      <c r="AI85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85" s="930">
        <v>0.3</v>
      </c>
      <c r="AK85" s="560">
        <v>50</v>
      </c>
      <c r="AL85" s="560">
        <v>50</v>
      </c>
      <c r="AM85" s="739">
        <v>0</v>
      </c>
      <c r="AN85" s="967">
        <f>Таблица_оружие[[#This Row],[FH]]*(1+Примерочная!$U$7*VLOOKUP(Примерочная!$V$2,Таблица_моды_оружие[],11,0))-Таблица_оружие[[#This Row],[FH]]</f>
        <v>0</v>
      </c>
      <c r="AO85" s="968">
        <f>Таблица_оружие[[#This Row],[CH]]*(1+Примерочная!$U$7*VLOOKUP(Примерочная!$V$2,Таблица_моды_оружие[],11,0))-Таблица_оружие[[#This Row],[CH]]</f>
        <v>0</v>
      </c>
      <c r="AP85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86" spans="1:42" ht="33" customHeight="1" x14ac:dyDescent="0.25">
      <c r="A86" s="653" t="s">
        <v>207</v>
      </c>
      <c r="B86" s="722"/>
      <c r="C86" s="639">
        <v>9</v>
      </c>
      <c r="D86" s="639">
        <v>10</v>
      </c>
      <c r="E86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86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86" s="655">
        <f>SUM(Таблица_оружие[[#This Row],[урон макс.]]+Таблица_оружие[[#This Row],[урон мин.]])/2</f>
        <v>9.5</v>
      </c>
      <c r="H86" s="656">
        <f>SUM(Таблица_оружие[[#This Row],[урон макс.]]-Таблица_оружие[[#This Row],[урон мин.]])</f>
        <v>1</v>
      </c>
      <c r="I86" s="645">
        <v>5</v>
      </c>
      <c r="J86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86" s="727">
        <f>Таблица_оружие[[#This Row],[урон макс.]]*Таблица_оружие[[#This Row],[крит множ]]</f>
        <v>14</v>
      </c>
      <c r="L86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86" s="640">
        <v>80</v>
      </c>
      <c r="N86" s="657">
        <v>75</v>
      </c>
      <c r="O86" s="657">
        <v>70</v>
      </c>
      <c r="P86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86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86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86" s="640">
        <v>3</v>
      </c>
      <c r="T86" s="657">
        <v>4</v>
      </c>
      <c r="U86" s="657">
        <v>5</v>
      </c>
      <c r="V86" s="657">
        <v>11</v>
      </c>
      <c r="W86" s="657">
        <v>10</v>
      </c>
      <c r="X86" s="657">
        <v>9</v>
      </c>
      <c r="Y86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86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86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86" s="653">
        <v>7</v>
      </c>
      <c r="AC86" s="725">
        <f>(Примерочная!$U$7*VLOOKUP(Таблица_оружие[[#This Row],[название]],Таблица_моды_оружие[],11,0))</f>
        <v>0</v>
      </c>
      <c r="AD86" s="657"/>
      <c r="AE86" s="657"/>
      <c r="AF86" s="657">
        <v>1</v>
      </c>
      <c r="AG86" s="654"/>
      <c r="AH86" s="659">
        <v>1.4</v>
      </c>
      <c r="AI86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86" s="931">
        <v>0.3</v>
      </c>
      <c r="AK86" s="360">
        <v>50</v>
      </c>
      <c r="AL86" s="360">
        <v>50</v>
      </c>
      <c r="AM86" s="559">
        <v>0</v>
      </c>
      <c r="AN86" s="967">
        <f>Таблица_оружие[[#This Row],[FH]]*(1+Примерочная!$U$7*VLOOKUP(Примерочная!$V$2,Таблица_моды_оружие[],11,0))-Таблица_оружие[[#This Row],[FH]]</f>
        <v>0</v>
      </c>
      <c r="AO86" s="968">
        <f>Таблица_оружие[[#This Row],[CH]]*(1+Примерочная!$U$7*VLOOKUP(Примерочная!$V$2,Таблица_моды_оружие[],11,0))-Таблица_оружие[[#This Row],[CH]]</f>
        <v>0</v>
      </c>
      <c r="AP86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87" spans="1:42" ht="33" customHeight="1" x14ac:dyDescent="0.25">
      <c r="A87" s="653" t="s">
        <v>208</v>
      </c>
      <c r="B87" s="722"/>
      <c r="C87" s="639">
        <v>11</v>
      </c>
      <c r="D87" s="639">
        <v>13.7</v>
      </c>
      <c r="E87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87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87" s="655">
        <f>SUM(Таблица_оружие[[#This Row],[урон макс.]]+Таблица_оружие[[#This Row],[урон мин.]])/2</f>
        <v>12.35</v>
      </c>
      <c r="H87" s="656">
        <f>SUM(Таблица_оружие[[#This Row],[урон макс.]]-Таблица_оружие[[#This Row],[урон мин.]])</f>
        <v>2.6999999999999993</v>
      </c>
      <c r="I87" s="645">
        <v>5</v>
      </c>
      <c r="J87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87" s="727">
        <f>Таблица_оружие[[#This Row],[урон макс.]]*Таблица_оружие[[#This Row],[крит множ]]</f>
        <v>19.179999999999996</v>
      </c>
      <c r="L87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87" s="640">
        <v>80</v>
      </c>
      <c r="N87" s="657">
        <v>75</v>
      </c>
      <c r="O87" s="657">
        <v>70</v>
      </c>
      <c r="P87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87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87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87" s="640">
        <v>3</v>
      </c>
      <c r="T87" s="657">
        <v>4</v>
      </c>
      <c r="U87" s="657">
        <v>5</v>
      </c>
      <c r="V87" s="657">
        <v>11</v>
      </c>
      <c r="W87" s="657">
        <v>10</v>
      </c>
      <c r="X87" s="657">
        <v>9</v>
      </c>
      <c r="Y87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87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87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87" s="653">
        <v>7</v>
      </c>
      <c r="AC87" s="725">
        <f>(Примерочная!$U$7*VLOOKUP(Таблица_оружие[[#This Row],[название]],Таблица_моды_оружие[],11,0))</f>
        <v>0</v>
      </c>
      <c r="AD87" s="657"/>
      <c r="AE87" s="657"/>
      <c r="AF87" s="657">
        <v>3</v>
      </c>
      <c r="AG87" s="654"/>
      <c r="AH87" s="659">
        <v>1.4</v>
      </c>
      <c r="AI87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87" s="930">
        <v>0.3</v>
      </c>
      <c r="AK87" s="560">
        <v>50</v>
      </c>
      <c r="AL87" s="560">
        <v>50</v>
      </c>
      <c r="AM87" s="739">
        <v>0</v>
      </c>
      <c r="AN87" s="967">
        <f>Таблица_оружие[[#This Row],[FH]]*(1+Примерочная!$U$7*VLOOKUP(Примерочная!$V$2,Таблица_моды_оружие[],11,0))-Таблица_оружие[[#This Row],[FH]]</f>
        <v>0</v>
      </c>
      <c r="AO87" s="968">
        <f>Таблица_оружие[[#This Row],[CH]]*(1+Примерочная!$U$7*VLOOKUP(Примерочная!$V$2,Таблица_моды_оружие[],11,0))-Таблица_оружие[[#This Row],[CH]]</f>
        <v>0</v>
      </c>
      <c r="AP87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88" spans="1:42" ht="33" customHeight="1" x14ac:dyDescent="0.25">
      <c r="A88" s="653" t="s">
        <v>209</v>
      </c>
      <c r="B88" s="722"/>
      <c r="C88" s="639">
        <v>13.5</v>
      </c>
      <c r="D88" s="639">
        <v>16.5</v>
      </c>
      <c r="E88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88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88" s="655">
        <f>SUM(Таблица_оружие[[#This Row],[урон макс.]]+Таблица_оружие[[#This Row],[урон мин.]])/2</f>
        <v>15</v>
      </c>
      <c r="H88" s="656">
        <f>SUM(Таблица_оружие[[#This Row],[урон макс.]]-Таблица_оружие[[#This Row],[урон мин.]])</f>
        <v>3</v>
      </c>
      <c r="I88" s="645">
        <v>5</v>
      </c>
      <c r="J88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88" s="727">
        <f>Таблица_оружие[[#This Row],[урон макс.]]*Таблица_оружие[[#This Row],[крит множ]]</f>
        <v>23.099999999999998</v>
      </c>
      <c r="L88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88" s="640">
        <v>80</v>
      </c>
      <c r="N88" s="657">
        <v>75</v>
      </c>
      <c r="O88" s="657">
        <v>70</v>
      </c>
      <c r="P88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88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88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88" s="640">
        <v>3</v>
      </c>
      <c r="T88" s="657">
        <v>4</v>
      </c>
      <c r="U88" s="657">
        <v>5</v>
      </c>
      <c r="V88" s="657">
        <v>11</v>
      </c>
      <c r="W88" s="657">
        <v>10</v>
      </c>
      <c r="X88" s="657">
        <v>9</v>
      </c>
      <c r="Y88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88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88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88" s="653">
        <v>7</v>
      </c>
      <c r="AC88" s="725">
        <f>(Примерочная!$U$7*VLOOKUP(Таблица_оружие[[#This Row],[название]],Таблица_моды_оружие[],11,0))</f>
        <v>0</v>
      </c>
      <c r="AD88" s="657"/>
      <c r="AE88" s="657"/>
      <c r="AF88" s="657">
        <v>7</v>
      </c>
      <c r="AG88" s="654"/>
      <c r="AH88" s="659">
        <v>1.4</v>
      </c>
      <c r="AI88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88" s="931">
        <v>0.3</v>
      </c>
      <c r="AK88" s="360">
        <v>50</v>
      </c>
      <c r="AL88" s="360">
        <v>50</v>
      </c>
      <c r="AM88" s="559">
        <v>0</v>
      </c>
      <c r="AN88" s="967">
        <f>Таблица_оружие[[#This Row],[FH]]*(1+Примерочная!$U$7*VLOOKUP(Примерочная!$V$2,Таблица_моды_оружие[],11,0))-Таблица_оружие[[#This Row],[FH]]</f>
        <v>0</v>
      </c>
      <c r="AO88" s="968">
        <f>Таблица_оружие[[#This Row],[CH]]*(1+Примерочная!$U$7*VLOOKUP(Примерочная!$V$2,Таблица_моды_оружие[],11,0))-Таблица_оружие[[#This Row],[CH]]</f>
        <v>0</v>
      </c>
      <c r="AP88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89" spans="1:42" ht="33" customHeight="1" x14ac:dyDescent="0.25">
      <c r="A89" s="653" t="s">
        <v>210</v>
      </c>
      <c r="B89" s="722"/>
      <c r="C89" s="639">
        <v>14.1</v>
      </c>
      <c r="D89" s="639">
        <v>18.2</v>
      </c>
      <c r="E89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89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89" s="655">
        <f>SUM(Таблица_оружие[[#This Row],[урон макс.]]+Таблица_оружие[[#This Row],[урон мин.]])/2</f>
        <v>16.149999999999999</v>
      </c>
      <c r="H89" s="656">
        <f>SUM(Таблица_оружие[[#This Row],[урон макс.]]-Таблица_оружие[[#This Row],[урон мин.]])</f>
        <v>4.0999999999999996</v>
      </c>
      <c r="I89" s="645">
        <v>5</v>
      </c>
      <c r="J89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89" s="727">
        <f>Таблица_оружие[[#This Row],[урон макс.]]*Таблица_оружие[[#This Row],[крит множ]]</f>
        <v>25.479999999999997</v>
      </c>
      <c r="L89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89" s="640">
        <v>80</v>
      </c>
      <c r="N89" s="657">
        <v>75</v>
      </c>
      <c r="O89" s="657">
        <v>70</v>
      </c>
      <c r="P89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89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89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89" s="640">
        <v>3</v>
      </c>
      <c r="T89" s="657">
        <v>4</v>
      </c>
      <c r="U89" s="657">
        <v>5</v>
      </c>
      <c r="V89" s="657">
        <v>11</v>
      </c>
      <c r="W89" s="657">
        <v>10</v>
      </c>
      <c r="X89" s="657">
        <v>9</v>
      </c>
      <c r="Y89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89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89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89" s="653">
        <v>7</v>
      </c>
      <c r="AC89" s="725">
        <f>(Примерочная!$U$7*VLOOKUP(Таблица_оружие[[#This Row],[название]],Таблица_моды_оружие[],11,0))</f>
        <v>0</v>
      </c>
      <c r="AD89" s="657"/>
      <c r="AE89" s="657"/>
      <c r="AF89" s="657">
        <v>10</v>
      </c>
      <c r="AG89" s="654"/>
      <c r="AH89" s="659">
        <v>1.4</v>
      </c>
      <c r="AI89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89" s="930">
        <v>0.3</v>
      </c>
      <c r="AK89" s="560">
        <v>50</v>
      </c>
      <c r="AL89" s="560">
        <v>50</v>
      </c>
      <c r="AM89" s="739">
        <v>0</v>
      </c>
      <c r="AN89" s="967">
        <f>Таблица_оружие[[#This Row],[FH]]*(1+Примерочная!$U$7*VLOOKUP(Примерочная!$V$2,Таблица_моды_оружие[],11,0))-Таблица_оружие[[#This Row],[FH]]</f>
        <v>0</v>
      </c>
      <c r="AO89" s="968">
        <f>Таблица_оружие[[#This Row],[CH]]*(1+Примерочная!$U$7*VLOOKUP(Примерочная!$V$2,Таблица_моды_оружие[],11,0))-Таблица_оружие[[#This Row],[CH]]</f>
        <v>0</v>
      </c>
      <c r="AP89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90" spans="1:42" ht="33" customHeight="1" x14ac:dyDescent="0.25">
      <c r="A90" s="653" t="s">
        <v>211</v>
      </c>
      <c r="B90" s="722"/>
      <c r="C90" s="639">
        <v>16</v>
      </c>
      <c r="D90" s="639">
        <v>22</v>
      </c>
      <c r="E90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90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90" s="655">
        <f>SUM(Таблица_оружие[[#This Row],[урон макс.]]+Таблица_оружие[[#This Row],[урон мин.]])/2</f>
        <v>19</v>
      </c>
      <c r="H90" s="656">
        <f>SUM(Таблица_оружие[[#This Row],[урон макс.]]-Таблица_оружие[[#This Row],[урон мин.]])</f>
        <v>6</v>
      </c>
      <c r="I90" s="645">
        <v>5</v>
      </c>
      <c r="J90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90" s="727">
        <f>Таблица_оружие[[#This Row],[урон макс.]]*Таблица_оружие[[#This Row],[крит множ]]</f>
        <v>30.799999999999997</v>
      </c>
      <c r="L90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90" s="640">
        <v>80</v>
      </c>
      <c r="N90" s="657">
        <v>75</v>
      </c>
      <c r="O90" s="657">
        <v>70</v>
      </c>
      <c r="P90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90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90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90" s="640">
        <v>3</v>
      </c>
      <c r="T90" s="657">
        <v>4</v>
      </c>
      <c r="U90" s="657">
        <v>5</v>
      </c>
      <c r="V90" s="657">
        <v>11</v>
      </c>
      <c r="W90" s="657">
        <v>10</v>
      </c>
      <c r="X90" s="657">
        <v>9</v>
      </c>
      <c r="Y90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90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90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90" s="653">
        <v>7</v>
      </c>
      <c r="AC90" s="725">
        <f>(Примерочная!$U$7*VLOOKUP(Таблица_оружие[[#This Row],[название]],Таблица_моды_оружие[],11,0))</f>
        <v>0</v>
      </c>
      <c r="AD90" s="657"/>
      <c r="AE90" s="657"/>
      <c r="AF90" s="657">
        <v>14</v>
      </c>
      <c r="AG90" s="654"/>
      <c r="AH90" s="659">
        <v>1.4</v>
      </c>
      <c r="AI90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90" s="931">
        <v>0.3</v>
      </c>
      <c r="AK90" s="360">
        <v>50</v>
      </c>
      <c r="AL90" s="360">
        <v>50</v>
      </c>
      <c r="AM90" s="559">
        <v>0</v>
      </c>
      <c r="AN90" s="967">
        <f>Таблица_оружие[[#This Row],[FH]]*(1+Примерочная!$U$7*VLOOKUP(Примерочная!$V$2,Таблица_моды_оружие[],11,0))-Таблица_оружие[[#This Row],[FH]]</f>
        <v>0</v>
      </c>
      <c r="AO90" s="968">
        <f>Таблица_оружие[[#This Row],[CH]]*(1+Примерочная!$U$7*VLOOKUP(Примерочная!$V$2,Таблица_моды_оружие[],11,0))-Таблица_оружие[[#This Row],[CH]]</f>
        <v>0</v>
      </c>
      <c r="AP90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91" spans="1:42" ht="33" customHeight="1" x14ac:dyDescent="0.25">
      <c r="A91" s="653" t="s">
        <v>212</v>
      </c>
      <c r="B91" s="722"/>
      <c r="C91" s="639">
        <v>18</v>
      </c>
      <c r="D91" s="639">
        <v>24.7</v>
      </c>
      <c r="E91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91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91" s="655">
        <f>SUM(Таблица_оружие[[#This Row],[урон макс.]]+Таблица_оружие[[#This Row],[урон мин.]])/2</f>
        <v>21.35</v>
      </c>
      <c r="H91" s="656">
        <f>SUM(Таблица_оружие[[#This Row],[урон макс.]]-Таблица_оружие[[#This Row],[урон мин.]])</f>
        <v>6.6999999999999993</v>
      </c>
      <c r="I91" s="645">
        <v>5</v>
      </c>
      <c r="J91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91" s="727">
        <f>Таблица_оружие[[#This Row],[урон макс.]]*Таблица_оружие[[#This Row],[крит множ]]</f>
        <v>34.58</v>
      </c>
      <c r="L91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91" s="640">
        <v>80</v>
      </c>
      <c r="N91" s="657">
        <v>75</v>
      </c>
      <c r="O91" s="657">
        <v>70</v>
      </c>
      <c r="P91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91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91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91" s="640">
        <v>3</v>
      </c>
      <c r="T91" s="657">
        <v>4</v>
      </c>
      <c r="U91" s="657">
        <v>5</v>
      </c>
      <c r="V91" s="657">
        <v>11</v>
      </c>
      <c r="W91" s="657">
        <v>10</v>
      </c>
      <c r="X91" s="657">
        <v>9</v>
      </c>
      <c r="Y91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91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91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91" s="653">
        <v>7</v>
      </c>
      <c r="AC91" s="725">
        <f>(Примерочная!$U$7*VLOOKUP(Таблица_оружие[[#This Row],[название]],Таблица_моды_оружие[],11,0))</f>
        <v>0</v>
      </c>
      <c r="AD91" s="657"/>
      <c r="AE91" s="657"/>
      <c r="AF91" s="657">
        <v>17</v>
      </c>
      <c r="AG91" s="654"/>
      <c r="AH91" s="659">
        <v>1.4</v>
      </c>
      <c r="AI91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91" s="930">
        <v>0.3</v>
      </c>
      <c r="AK91" s="560">
        <v>50</v>
      </c>
      <c r="AL91" s="560">
        <v>50</v>
      </c>
      <c r="AM91" s="739">
        <v>0</v>
      </c>
      <c r="AN91" s="967">
        <f>Таблица_оружие[[#This Row],[FH]]*(1+Примерочная!$U$7*VLOOKUP(Примерочная!$V$2,Таблица_моды_оружие[],11,0))-Таблица_оружие[[#This Row],[FH]]</f>
        <v>0</v>
      </c>
      <c r="AO91" s="968">
        <f>Таблица_оружие[[#This Row],[CH]]*(1+Примерочная!$U$7*VLOOKUP(Примерочная!$V$2,Таблица_моды_оружие[],11,0))-Таблица_оружие[[#This Row],[CH]]</f>
        <v>0</v>
      </c>
      <c r="AP91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92" spans="1:42" ht="33" customHeight="1" x14ac:dyDescent="0.25">
      <c r="A92" s="653" t="s">
        <v>213</v>
      </c>
      <c r="B92" s="722"/>
      <c r="C92" s="639">
        <v>20</v>
      </c>
      <c r="D92" s="639">
        <v>28</v>
      </c>
      <c r="E92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92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92" s="655">
        <f>SUM(Таблица_оружие[[#This Row],[урон макс.]]+Таблица_оружие[[#This Row],[урон мин.]])/2</f>
        <v>24</v>
      </c>
      <c r="H92" s="656">
        <f>SUM(Таблица_оружие[[#This Row],[урон макс.]]-Таблица_оружие[[#This Row],[урон мин.]])</f>
        <v>8</v>
      </c>
      <c r="I92" s="645">
        <v>5</v>
      </c>
      <c r="J92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92" s="727">
        <f>Таблица_оружие[[#This Row],[урон макс.]]*Таблица_оружие[[#This Row],[крит множ]]</f>
        <v>39.199999999999996</v>
      </c>
      <c r="L92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92" s="640">
        <v>80</v>
      </c>
      <c r="N92" s="657">
        <v>75</v>
      </c>
      <c r="O92" s="657">
        <v>70</v>
      </c>
      <c r="P92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92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92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92" s="640">
        <v>3</v>
      </c>
      <c r="T92" s="657">
        <v>4</v>
      </c>
      <c r="U92" s="657">
        <v>5</v>
      </c>
      <c r="V92" s="657">
        <v>11</v>
      </c>
      <c r="W92" s="657">
        <v>10</v>
      </c>
      <c r="X92" s="657">
        <v>9</v>
      </c>
      <c r="Y92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92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92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92" s="653">
        <v>7</v>
      </c>
      <c r="AC92" s="725">
        <f>(Примерочная!$U$7*VLOOKUP(Таблица_оружие[[#This Row],[название]],Таблица_моды_оружие[],11,0))</f>
        <v>0</v>
      </c>
      <c r="AD92" s="657"/>
      <c r="AE92" s="657"/>
      <c r="AF92" s="657">
        <v>19</v>
      </c>
      <c r="AG92" s="654"/>
      <c r="AH92" s="659">
        <v>1.4</v>
      </c>
      <c r="AI92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92" s="931">
        <v>0.3</v>
      </c>
      <c r="AK92" s="360">
        <v>50</v>
      </c>
      <c r="AL92" s="360">
        <v>50</v>
      </c>
      <c r="AM92" s="559">
        <v>0</v>
      </c>
      <c r="AN92" s="967">
        <f>Таблица_оружие[[#This Row],[FH]]*(1+Примерочная!$U$7*VLOOKUP(Примерочная!$V$2,Таблица_моды_оружие[],11,0))-Таблица_оружие[[#This Row],[FH]]</f>
        <v>0</v>
      </c>
      <c r="AO92" s="968">
        <f>Таблица_оружие[[#This Row],[CH]]*(1+Примерочная!$U$7*VLOOKUP(Примерочная!$V$2,Таблица_моды_оружие[],11,0))-Таблица_оружие[[#This Row],[CH]]</f>
        <v>0</v>
      </c>
      <c r="AP92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93" spans="1:42" ht="33" customHeight="1" x14ac:dyDescent="0.25">
      <c r="A93" s="653" t="s">
        <v>214</v>
      </c>
      <c r="B93" s="722"/>
      <c r="C93" s="639">
        <v>22</v>
      </c>
      <c r="D93" s="639">
        <v>31</v>
      </c>
      <c r="E93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93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93" s="655">
        <f>SUM(Таблица_оружие[[#This Row],[урон макс.]]+Таблица_оружие[[#This Row],[урон мин.]])/2</f>
        <v>26.5</v>
      </c>
      <c r="H93" s="656">
        <f>SUM(Таблица_оружие[[#This Row],[урон макс.]]-Таблица_оружие[[#This Row],[урон мин.]])</f>
        <v>9</v>
      </c>
      <c r="I93" s="645">
        <v>5</v>
      </c>
      <c r="J93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93" s="727">
        <f>Таблица_оружие[[#This Row],[урон макс.]]*Таблица_оружие[[#This Row],[крит множ]]</f>
        <v>43.4</v>
      </c>
      <c r="L93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93" s="640">
        <v>80</v>
      </c>
      <c r="N93" s="657">
        <v>75</v>
      </c>
      <c r="O93" s="657">
        <v>70</v>
      </c>
      <c r="P93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93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93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93" s="640">
        <v>3</v>
      </c>
      <c r="T93" s="657">
        <v>4</v>
      </c>
      <c r="U93" s="657">
        <v>5</v>
      </c>
      <c r="V93" s="657">
        <v>11</v>
      </c>
      <c r="W93" s="657">
        <v>10</v>
      </c>
      <c r="X93" s="657">
        <v>9</v>
      </c>
      <c r="Y93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93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93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93" s="653">
        <v>7</v>
      </c>
      <c r="AC93" s="725">
        <f>(Примерочная!$U$7*VLOOKUP(Таблица_оружие[[#This Row],[название]],Таблица_моды_оружие[],11,0))</f>
        <v>0</v>
      </c>
      <c r="AD93" s="657"/>
      <c r="AE93" s="657"/>
      <c r="AF93" s="657">
        <v>21</v>
      </c>
      <c r="AG93" s="654"/>
      <c r="AH93" s="659">
        <v>1.4</v>
      </c>
      <c r="AI93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93" s="930">
        <v>0.3</v>
      </c>
      <c r="AK93" s="560">
        <v>50</v>
      </c>
      <c r="AL93" s="560">
        <v>50</v>
      </c>
      <c r="AM93" s="739">
        <v>0</v>
      </c>
      <c r="AN93" s="967">
        <f>Таблица_оружие[[#This Row],[FH]]*(1+Примерочная!$U$7*VLOOKUP(Примерочная!$V$2,Таблица_моды_оружие[],11,0))-Таблица_оружие[[#This Row],[FH]]</f>
        <v>0</v>
      </c>
      <c r="AO93" s="968">
        <f>Таблица_оружие[[#This Row],[CH]]*(1+Примерочная!$U$7*VLOOKUP(Примерочная!$V$2,Таблица_моды_оружие[],11,0))-Таблица_оружие[[#This Row],[CH]]</f>
        <v>0</v>
      </c>
      <c r="AP93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94" spans="1:42" ht="33" customHeight="1" x14ac:dyDescent="0.25">
      <c r="A94" s="653" t="s">
        <v>215</v>
      </c>
      <c r="B94" s="722"/>
      <c r="C94" s="639">
        <v>24</v>
      </c>
      <c r="D94" s="639">
        <v>35</v>
      </c>
      <c r="E94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94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94" s="655">
        <f>SUM(Таблица_оружие[[#This Row],[урон макс.]]+Таблица_оружие[[#This Row],[урон мин.]])/2</f>
        <v>29.5</v>
      </c>
      <c r="H94" s="656">
        <f>SUM(Таблица_оружие[[#This Row],[урон макс.]]-Таблица_оружие[[#This Row],[урон мин.]])</f>
        <v>11</v>
      </c>
      <c r="I94" s="645">
        <v>5</v>
      </c>
      <c r="J94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94" s="727">
        <f>Таблица_оружие[[#This Row],[урон макс.]]*Таблица_оружие[[#This Row],[крит множ]]</f>
        <v>49</v>
      </c>
      <c r="L94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94" s="640">
        <v>80</v>
      </c>
      <c r="N94" s="657">
        <v>75</v>
      </c>
      <c r="O94" s="657">
        <v>70</v>
      </c>
      <c r="P94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94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94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94" s="640">
        <v>3</v>
      </c>
      <c r="T94" s="657">
        <v>4</v>
      </c>
      <c r="U94" s="657">
        <v>5</v>
      </c>
      <c r="V94" s="657">
        <v>11</v>
      </c>
      <c r="W94" s="657">
        <v>10</v>
      </c>
      <c r="X94" s="657">
        <v>9</v>
      </c>
      <c r="Y94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94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94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94" s="653">
        <v>7</v>
      </c>
      <c r="AC94" s="725">
        <f>(Примерочная!$U$7*VLOOKUP(Таблица_оружие[[#This Row],[название]],Таблица_моды_оружие[],11,0))</f>
        <v>0</v>
      </c>
      <c r="AD94" s="657"/>
      <c r="AE94" s="657"/>
      <c r="AF94" s="657">
        <v>23</v>
      </c>
      <c r="AG94" s="654"/>
      <c r="AH94" s="659">
        <v>1.4</v>
      </c>
      <c r="AI94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94" s="931">
        <v>0.3</v>
      </c>
      <c r="AK94" s="360">
        <v>50</v>
      </c>
      <c r="AL94" s="360">
        <v>50</v>
      </c>
      <c r="AM94" s="559">
        <v>0</v>
      </c>
      <c r="AN94" s="967">
        <f>Таблица_оружие[[#This Row],[FH]]*(1+Примерочная!$U$7*VLOOKUP(Примерочная!$V$2,Таблица_моды_оружие[],11,0))-Таблица_оружие[[#This Row],[FH]]</f>
        <v>0</v>
      </c>
      <c r="AO94" s="968">
        <f>Таблица_оружие[[#This Row],[CH]]*(1+Примерочная!$U$7*VLOOKUP(Примерочная!$V$2,Таблица_моды_оружие[],11,0))-Таблица_оружие[[#This Row],[CH]]</f>
        <v>0</v>
      </c>
      <c r="AP94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95" spans="1:42" s="678" customFormat="1" ht="33" customHeight="1" x14ac:dyDescent="0.2">
      <c r="A95" s="653" t="s">
        <v>315</v>
      </c>
      <c r="B95" s="722"/>
      <c r="C95" s="639">
        <v>27</v>
      </c>
      <c r="D95" s="639">
        <v>38</v>
      </c>
      <c r="E95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95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95" s="655">
        <f>SUM(Таблица_оружие[[#This Row],[урон макс.]]+Таблица_оружие[[#This Row],[урон мин.]])/2</f>
        <v>32.5</v>
      </c>
      <c r="H95" s="656">
        <f>SUM(Таблица_оружие[[#This Row],[урон макс.]]-Таблица_оружие[[#This Row],[урон мин.]])</f>
        <v>11</v>
      </c>
      <c r="I95" s="645">
        <v>5</v>
      </c>
      <c r="J95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95" s="727">
        <f>Таблица_оружие[[#This Row],[урон макс.]]*Таблица_оружие[[#This Row],[крит множ]]</f>
        <v>53.199999999999996</v>
      </c>
      <c r="L95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95" s="640">
        <v>80</v>
      </c>
      <c r="N95" s="657">
        <v>75</v>
      </c>
      <c r="O95" s="657">
        <v>70</v>
      </c>
      <c r="P95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95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95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95" s="640">
        <v>3</v>
      </c>
      <c r="T95" s="657">
        <v>4</v>
      </c>
      <c r="U95" s="657">
        <v>5</v>
      </c>
      <c r="V95" s="657">
        <v>11</v>
      </c>
      <c r="W95" s="657">
        <v>10</v>
      </c>
      <c r="X95" s="657">
        <v>9</v>
      </c>
      <c r="Y95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95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95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95" s="653">
        <v>7</v>
      </c>
      <c r="AC95" s="725">
        <f>(Примерочная!$U$7*VLOOKUP(Таблица_оружие[[#This Row],[название]],Таблица_моды_оружие[],11,0))</f>
        <v>0</v>
      </c>
      <c r="AD95" s="657"/>
      <c r="AE95" s="657"/>
      <c r="AF95" s="657">
        <v>25</v>
      </c>
      <c r="AG95" s="654"/>
      <c r="AH95" s="659">
        <v>1.4</v>
      </c>
      <c r="AI95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95" s="930">
        <v>0.3</v>
      </c>
      <c r="AK95" s="560">
        <v>50</v>
      </c>
      <c r="AL95" s="560">
        <v>50</v>
      </c>
      <c r="AM95" s="739">
        <v>0</v>
      </c>
      <c r="AN95" s="967">
        <f>Таблица_оружие[[#This Row],[FH]]*(1+Примерочная!$U$7*VLOOKUP(Примерочная!$V$2,Таблица_моды_оружие[],11,0))-Таблица_оружие[[#This Row],[FH]]</f>
        <v>0</v>
      </c>
      <c r="AO95" s="968">
        <f>Таблица_оружие[[#This Row],[CH]]*(1+Примерочная!$U$7*VLOOKUP(Примерочная!$V$2,Таблица_моды_оружие[],11,0))-Таблица_оружие[[#This Row],[CH]]</f>
        <v>0</v>
      </c>
      <c r="AP95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96" spans="1:42" ht="33" customHeight="1" x14ac:dyDescent="0.25">
      <c r="A96" s="653" t="s">
        <v>316</v>
      </c>
      <c r="B96" s="722"/>
      <c r="C96" s="639">
        <v>30</v>
      </c>
      <c r="D96" s="639">
        <v>40</v>
      </c>
      <c r="E96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96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96" s="655">
        <f>SUM(Таблица_оружие[[#This Row],[урон макс.]]+Таблица_оружие[[#This Row],[урон мин.]])/2</f>
        <v>35</v>
      </c>
      <c r="H96" s="656">
        <f>SUM(Таблица_оружие[[#This Row],[урон макс.]]-Таблица_оружие[[#This Row],[урон мин.]])</f>
        <v>10</v>
      </c>
      <c r="I96" s="645">
        <v>5</v>
      </c>
      <c r="J96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96" s="727">
        <f>Таблица_оружие[[#This Row],[урон макс.]]*Таблица_оружие[[#This Row],[крит множ]]</f>
        <v>56</v>
      </c>
      <c r="L96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96" s="640">
        <v>80</v>
      </c>
      <c r="N96" s="657">
        <v>75</v>
      </c>
      <c r="O96" s="657">
        <v>70</v>
      </c>
      <c r="P96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96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96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96" s="640">
        <v>3</v>
      </c>
      <c r="T96" s="657">
        <v>4</v>
      </c>
      <c r="U96" s="657">
        <v>5</v>
      </c>
      <c r="V96" s="657">
        <v>11</v>
      </c>
      <c r="W96" s="657">
        <v>10</v>
      </c>
      <c r="X96" s="657">
        <v>9</v>
      </c>
      <c r="Y96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96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96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96" s="653">
        <v>7</v>
      </c>
      <c r="AC96" s="725">
        <f>(Примерочная!$U$7*VLOOKUP(Таблица_оружие[[#This Row],[название]],Таблица_моды_оружие[],11,0))</f>
        <v>0</v>
      </c>
      <c r="AD96" s="657"/>
      <c r="AE96" s="657"/>
      <c r="AF96" s="657">
        <v>29</v>
      </c>
      <c r="AG96" s="654"/>
      <c r="AH96" s="659">
        <v>1.4</v>
      </c>
      <c r="AI96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96" s="931">
        <v>0.3</v>
      </c>
      <c r="AK96" s="360">
        <v>50</v>
      </c>
      <c r="AL96" s="360">
        <v>50</v>
      </c>
      <c r="AM96" s="559">
        <v>0</v>
      </c>
      <c r="AN96" s="967">
        <f>Таблица_оружие[[#This Row],[FH]]*(1+Примерочная!$U$7*VLOOKUP(Примерочная!$V$2,Таблица_моды_оружие[],11,0))-Таблица_оружие[[#This Row],[FH]]</f>
        <v>0</v>
      </c>
      <c r="AO96" s="968">
        <f>Таблица_оружие[[#This Row],[CH]]*(1+Примерочная!$U$7*VLOOKUP(Примерочная!$V$2,Таблица_моды_оружие[],11,0))-Таблица_оружие[[#This Row],[CH]]</f>
        <v>0</v>
      </c>
      <c r="AP96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97" spans="1:42" ht="33" customHeight="1" x14ac:dyDescent="0.25">
      <c r="A97" s="653" t="s">
        <v>216</v>
      </c>
      <c r="B97" s="722"/>
      <c r="C97" s="639">
        <v>35</v>
      </c>
      <c r="D97" s="639">
        <v>45</v>
      </c>
      <c r="E97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97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97" s="655">
        <f>SUM(Таблица_оружие[[#This Row],[урон макс.]]+Таблица_оружие[[#This Row],[урон мин.]])/2</f>
        <v>40</v>
      </c>
      <c r="H97" s="656">
        <f>SUM(Таблица_оружие[[#This Row],[урон макс.]]-Таблица_оружие[[#This Row],[урон мин.]])</f>
        <v>10</v>
      </c>
      <c r="I97" s="645">
        <v>5</v>
      </c>
      <c r="J97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97" s="727">
        <f>Таблица_оружие[[#This Row],[урон макс.]]*Таблица_оружие[[#This Row],[крит множ]]</f>
        <v>62.999999999999993</v>
      </c>
      <c r="L97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97" s="640">
        <v>80</v>
      </c>
      <c r="N97" s="657">
        <v>75</v>
      </c>
      <c r="O97" s="657">
        <v>70</v>
      </c>
      <c r="P97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97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97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97" s="640">
        <v>3</v>
      </c>
      <c r="T97" s="657">
        <v>4</v>
      </c>
      <c r="U97" s="657">
        <v>5</v>
      </c>
      <c r="V97" s="657">
        <v>11</v>
      </c>
      <c r="W97" s="657">
        <v>10</v>
      </c>
      <c r="X97" s="657">
        <v>9</v>
      </c>
      <c r="Y97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97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97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97" s="653">
        <v>7</v>
      </c>
      <c r="AC97" s="725">
        <f>(Примерочная!$U$7*VLOOKUP(Таблица_оружие[[#This Row],[название]],Таблица_моды_оружие[],11,0))</f>
        <v>0</v>
      </c>
      <c r="AD97" s="657"/>
      <c r="AE97" s="657"/>
      <c r="AF97" s="657">
        <v>35</v>
      </c>
      <c r="AG97" s="654"/>
      <c r="AH97" s="659">
        <v>1.4</v>
      </c>
      <c r="AI97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97" s="930">
        <v>0.3</v>
      </c>
      <c r="AK97" s="560">
        <v>50</v>
      </c>
      <c r="AL97" s="560">
        <v>50</v>
      </c>
      <c r="AM97" s="739">
        <v>0</v>
      </c>
      <c r="AN97" s="967">
        <f>Таблица_оружие[[#This Row],[FH]]*(1+Примерочная!$U$7*VLOOKUP(Примерочная!$V$2,Таблица_моды_оружие[],11,0))-Таблица_оружие[[#This Row],[FH]]</f>
        <v>0</v>
      </c>
      <c r="AO97" s="968">
        <f>Таблица_оружие[[#This Row],[CH]]*(1+Примерочная!$U$7*VLOOKUP(Примерочная!$V$2,Таблица_моды_оружие[],11,0))-Таблица_оружие[[#This Row],[CH]]</f>
        <v>0</v>
      </c>
      <c r="AP97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98" spans="1:42" s="702" customFormat="1" ht="33" customHeight="1" thickBot="1" x14ac:dyDescent="0.3">
      <c r="A98" s="653"/>
      <c r="B98" s="654"/>
      <c r="C98" s="732"/>
      <c r="D98" s="737"/>
      <c r="E98" s="715"/>
      <c r="F98" s="716"/>
      <c r="G98" s="655"/>
      <c r="H98" s="656"/>
      <c r="I98" s="647"/>
      <c r="J98" s="716"/>
      <c r="K98" s="732"/>
      <c r="L98" s="604"/>
      <c r="M98" s="641"/>
      <c r="N98" s="714"/>
      <c r="O98" s="714"/>
      <c r="P98" s="603"/>
      <c r="Q98" s="603"/>
      <c r="R98" s="604"/>
      <c r="S98" s="641"/>
      <c r="T98" s="714"/>
      <c r="U98" s="714"/>
      <c r="V98" s="714"/>
      <c r="W98" s="714"/>
      <c r="X98" s="714"/>
      <c r="Y98" s="715"/>
      <c r="Z98" s="715"/>
      <c r="AA98" s="716"/>
      <c r="AB98" s="653"/>
      <c r="AC98" s="657"/>
      <c r="AD98" s="657"/>
      <c r="AE98" s="657"/>
      <c r="AF98" s="657"/>
      <c r="AG98" s="654"/>
      <c r="AH98" s="706"/>
      <c r="AI98" s="924"/>
      <c r="AJ98" s="641"/>
      <c r="AK98" s="714"/>
      <c r="AL98" s="714"/>
      <c r="AM98" s="963"/>
      <c r="AN98" s="952"/>
      <c r="AO98" s="953"/>
      <c r="AP98" s="954"/>
    </row>
    <row r="99" spans="1:42" s="677" customFormat="1" ht="33" customHeight="1" thickBot="1" x14ac:dyDescent="0.3">
      <c r="A99" s="673" t="s">
        <v>217</v>
      </c>
      <c r="B99" s="661"/>
      <c r="C99" s="730"/>
      <c r="D99" s="730"/>
      <c r="E99" s="709"/>
      <c r="F99" s="709"/>
      <c r="G99" s="680"/>
      <c r="H99" s="681"/>
      <c r="I99" s="720"/>
      <c r="J99" s="709"/>
      <c r="K99" s="730"/>
      <c r="L99" s="717"/>
      <c r="M99" s="708"/>
      <c r="N99" s="708"/>
      <c r="O99" s="708"/>
      <c r="P99" s="717"/>
      <c r="Q99" s="717"/>
      <c r="R99" s="717"/>
      <c r="S99" s="708"/>
      <c r="T99" s="708"/>
      <c r="U99" s="708"/>
      <c r="V99" s="708"/>
      <c r="W99" s="708"/>
      <c r="X99" s="708"/>
      <c r="Y99" s="709"/>
      <c r="Z99" s="709"/>
      <c r="AA99" s="709"/>
      <c r="AB99" s="661"/>
      <c r="AC99" s="661"/>
      <c r="AD99" s="687"/>
      <c r="AE99" s="687"/>
      <c r="AF99" s="687"/>
      <c r="AG99" s="687"/>
      <c r="AH99" s="704"/>
      <c r="AI99" s="701"/>
      <c r="AJ99" s="966"/>
      <c r="AK99" s="685"/>
      <c r="AL99" s="685"/>
      <c r="AM99" s="740"/>
      <c r="AN99" s="956"/>
      <c r="AO99" s="957"/>
      <c r="AP99" s="958"/>
    </row>
    <row r="100" spans="1:42" s="702" customFormat="1" ht="33" customHeight="1" x14ac:dyDescent="0.25">
      <c r="A100" s="653"/>
      <c r="B100" s="654"/>
      <c r="C100" s="731"/>
      <c r="D100" s="736"/>
      <c r="E100" s="712"/>
      <c r="F100" s="713"/>
      <c r="G100" s="655"/>
      <c r="H100" s="656"/>
      <c r="I100" s="721"/>
      <c r="J100" s="713"/>
      <c r="K100" s="731"/>
      <c r="L100" s="719"/>
      <c r="M100" s="710"/>
      <c r="N100" s="711"/>
      <c r="O100" s="711"/>
      <c r="P100" s="718"/>
      <c r="Q100" s="718"/>
      <c r="R100" s="719"/>
      <c r="S100" s="710"/>
      <c r="T100" s="711"/>
      <c r="U100" s="711"/>
      <c r="V100" s="711"/>
      <c r="W100" s="711"/>
      <c r="X100" s="711"/>
      <c r="Y100" s="712"/>
      <c r="Z100" s="712"/>
      <c r="AA100" s="713"/>
      <c r="AB100" s="707"/>
      <c r="AC100" s="657"/>
      <c r="AD100" s="657"/>
      <c r="AE100" s="657"/>
      <c r="AF100" s="657"/>
      <c r="AG100" s="654"/>
      <c r="AH100" s="705"/>
      <c r="AI100" s="923"/>
      <c r="AJ100" s="710"/>
      <c r="AK100" s="711"/>
      <c r="AL100" s="711"/>
      <c r="AM100" s="959"/>
      <c r="AN100" s="960"/>
      <c r="AO100" s="961"/>
      <c r="AP100" s="962"/>
    </row>
    <row r="101" spans="1:42" ht="33" customHeight="1" x14ac:dyDescent="0.25">
      <c r="A101" s="742" t="s">
        <v>218</v>
      </c>
      <c r="B101" s="722"/>
      <c r="C101" s="639">
        <v>12.9</v>
      </c>
      <c r="D101" s="639">
        <v>15</v>
      </c>
      <c r="E101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01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01" s="655">
        <f>SUM(Таблица_оружие[[#This Row],[урон макс.]]+Таблица_оружие[[#This Row],[урон мин.]])/2</f>
        <v>13.95</v>
      </c>
      <c r="H101" s="656">
        <f>SUM(Таблица_оружие[[#This Row],[урон макс.]]-Таблица_оружие[[#This Row],[урон мин.]])</f>
        <v>2.0999999999999996</v>
      </c>
      <c r="I101" s="640">
        <v>11</v>
      </c>
      <c r="J101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01" s="727">
        <f>Таблица_оружие[[#This Row],[урон макс.]]*Таблица_оружие[[#This Row],[крит множ]]</f>
        <v>21</v>
      </c>
      <c r="L101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01" s="640">
        <v>75</v>
      </c>
      <c r="N101" s="657">
        <v>90</v>
      </c>
      <c r="O101" s="657"/>
      <c r="P101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01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01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01" s="640">
        <v>2</v>
      </c>
      <c r="T101" s="657">
        <v>5</v>
      </c>
      <c r="U101" s="657"/>
      <c r="V101" s="657">
        <v>8</v>
      </c>
      <c r="W101" s="657">
        <v>15</v>
      </c>
      <c r="X101" s="657"/>
      <c r="Y101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01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01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01" s="653">
        <v>4</v>
      </c>
      <c r="AC101" s="725">
        <f>(Примерочная!$U$7*VLOOKUP(Таблица_оружие[[#This Row],[название]],Таблица_моды_оружие[],11,0))</f>
        <v>0</v>
      </c>
      <c r="AD101" s="657"/>
      <c r="AE101" s="657"/>
      <c r="AF101" s="657"/>
      <c r="AG101" s="654"/>
      <c r="AH101" s="659">
        <v>1.4</v>
      </c>
      <c r="AI101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101" s="930">
        <v>0.6</v>
      </c>
      <c r="AK101" s="560">
        <v>150</v>
      </c>
      <c r="AL101" s="560">
        <v>150</v>
      </c>
      <c r="AM101" s="739">
        <v>0</v>
      </c>
      <c r="AN101" s="967">
        <f>Таблица_оружие[[#This Row],[FH]]*(1+Примерочная!$U$7*VLOOKUP(Примерочная!$V$2,Таблица_моды_оружие[],11,0))-Таблица_оружие[[#This Row],[FH]]</f>
        <v>0</v>
      </c>
      <c r="AO101" s="968">
        <f>Таблица_оружие[[#This Row],[CH]]*(1+Примерочная!$U$7*VLOOKUP(Примерочная!$V$2,Таблица_моды_оружие[],11,0))-Таблица_оружие[[#This Row],[CH]]</f>
        <v>0</v>
      </c>
      <c r="AP101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02" spans="1:42" ht="33" customHeight="1" x14ac:dyDescent="0.25">
      <c r="A102" s="653" t="s">
        <v>219</v>
      </c>
      <c r="B102" s="722"/>
      <c r="C102" s="639">
        <v>18</v>
      </c>
      <c r="D102" s="639">
        <v>20.7</v>
      </c>
      <c r="E102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02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02" s="655">
        <f>SUM(Таблица_оружие[[#This Row],[урон макс.]]+Таблица_оружие[[#This Row],[урон мин.]])/2</f>
        <v>19.350000000000001</v>
      </c>
      <c r="H102" s="656">
        <f>SUM(Таблица_оружие[[#This Row],[урон макс.]]-Таблица_оружие[[#This Row],[урон мин.]])</f>
        <v>2.6999999999999993</v>
      </c>
      <c r="I102" s="640">
        <v>11</v>
      </c>
      <c r="J102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02" s="727">
        <f>Таблица_оружие[[#This Row],[урон макс.]]*Таблица_оружие[[#This Row],[крит множ]]</f>
        <v>28.979999999999997</v>
      </c>
      <c r="L102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02" s="640">
        <v>65</v>
      </c>
      <c r="N102" s="657">
        <v>95</v>
      </c>
      <c r="O102" s="657"/>
      <c r="P102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02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02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02" s="640">
        <v>5</v>
      </c>
      <c r="T102" s="657">
        <v>7</v>
      </c>
      <c r="U102" s="657"/>
      <c r="V102" s="657">
        <v>14</v>
      </c>
      <c r="W102" s="657">
        <v>18</v>
      </c>
      <c r="X102" s="657"/>
      <c r="Y102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02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02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02" s="653">
        <v>7</v>
      </c>
      <c r="AC102" s="725">
        <f>(Примерочная!$U$7*VLOOKUP(Таблица_оружие[[#This Row],[название]],Таблица_моды_оружие[],11,0))</f>
        <v>0</v>
      </c>
      <c r="AD102" s="657"/>
      <c r="AE102" s="657"/>
      <c r="AF102" s="657"/>
      <c r="AG102" s="654">
        <v>1</v>
      </c>
      <c r="AH102" s="659">
        <v>1.4</v>
      </c>
      <c r="AI102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102" s="931">
        <v>0.6</v>
      </c>
      <c r="AK102" s="360">
        <v>150</v>
      </c>
      <c r="AL102" s="360">
        <v>150</v>
      </c>
      <c r="AM102" s="559">
        <v>0</v>
      </c>
      <c r="AN102" s="967">
        <f>Таблица_оружие[[#This Row],[FH]]*(1+Примерочная!$U$7*VLOOKUP(Примерочная!$V$2,Таблица_моды_оружие[],11,0))-Таблица_оружие[[#This Row],[FH]]</f>
        <v>0</v>
      </c>
      <c r="AO102" s="968">
        <f>Таблица_оружие[[#This Row],[CH]]*(1+Примерочная!$U$7*VLOOKUP(Примерочная!$V$2,Таблица_моды_оружие[],11,0))-Таблица_оружие[[#This Row],[CH]]</f>
        <v>0</v>
      </c>
      <c r="AP102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03" spans="1:42" ht="33" customHeight="1" x14ac:dyDescent="0.25">
      <c r="A103" s="653" t="s">
        <v>220</v>
      </c>
      <c r="B103" s="722"/>
      <c r="C103" s="639">
        <v>15</v>
      </c>
      <c r="D103" s="639">
        <v>17</v>
      </c>
      <c r="E103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03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03" s="655">
        <f>SUM(Таблица_оружие[[#This Row],[урон макс.]]+Таблица_оружие[[#This Row],[урон мин.]])/2</f>
        <v>16</v>
      </c>
      <c r="H103" s="656">
        <f>SUM(Таблица_оружие[[#This Row],[урон макс.]]-Таблица_оружие[[#This Row],[урон мин.]])</f>
        <v>2</v>
      </c>
      <c r="I103" s="640">
        <v>8</v>
      </c>
      <c r="J103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03" s="727">
        <f>Таблица_оружие[[#This Row],[урон макс.]]*Таблица_оружие[[#This Row],[крит множ]]</f>
        <v>21.25</v>
      </c>
      <c r="L103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03" s="640">
        <v>75</v>
      </c>
      <c r="N103" s="657">
        <v>90</v>
      </c>
      <c r="O103" s="657"/>
      <c r="P103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03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03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03" s="640">
        <f>2+(2*(Примерочная!$Q$7*0.05))</f>
        <v>2</v>
      </c>
      <c r="T103" s="657">
        <v>5</v>
      </c>
      <c r="U103" s="657"/>
      <c r="V103" s="657">
        <v>8</v>
      </c>
      <c r="W103" s="657">
        <v>15</v>
      </c>
      <c r="X103" s="657"/>
      <c r="Y103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03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03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03" s="653">
        <v>7</v>
      </c>
      <c r="AC103" s="725">
        <f>(Примерочная!$U$7*VLOOKUP(Таблица_оружие[[#This Row],[название]],Таблица_моды_оружие[],11,0))</f>
        <v>0</v>
      </c>
      <c r="AD103" s="657"/>
      <c r="AE103" s="657"/>
      <c r="AF103" s="657"/>
      <c r="AG103" s="654">
        <v>1</v>
      </c>
      <c r="AH103" s="659">
        <v>1.25</v>
      </c>
      <c r="AI103" s="922">
        <f>Таблица_оружие[[#This Row],[крит множ]]+(Таблица_оружие[[#This Row],[крит множ]]*(Примерочная!$S$7*VLOOKUP(Примерочная!$V$2,Таблица_моды_оружие[],6,0)))</f>
        <v>1.25</v>
      </c>
      <c r="AJ103" s="930">
        <v>0.6</v>
      </c>
      <c r="AK103" s="560">
        <v>150</v>
      </c>
      <c r="AL103" s="560">
        <v>150</v>
      </c>
      <c r="AM103" s="739">
        <v>0</v>
      </c>
      <c r="AN103" s="967">
        <f>Таблица_оружие[[#This Row],[FH]]*(1+Примерочная!$U$7*VLOOKUP(Примерочная!$V$2,Таблица_моды_оружие[],11,0))-Таблица_оружие[[#This Row],[FH]]</f>
        <v>0</v>
      </c>
      <c r="AO103" s="968">
        <f>Таблица_оружие[[#This Row],[CH]]*(1+Примерочная!$U$7*VLOOKUP(Примерочная!$V$2,Таблица_моды_оружие[],11,0))-Таблица_оружие[[#This Row],[CH]]</f>
        <v>0</v>
      </c>
      <c r="AP103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04" spans="1:42" ht="33" customHeight="1" x14ac:dyDescent="0.25">
      <c r="A104" s="653" t="s">
        <v>221</v>
      </c>
      <c r="B104" s="722"/>
      <c r="C104" s="639">
        <v>22</v>
      </c>
      <c r="D104" s="639">
        <v>24.4</v>
      </c>
      <c r="E104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04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04" s="655">
        <f>SUM(Таблица_оружие[[#This Row],[урон макс.]]+Таблица_оружие[[#This Row],[урон мин.]])/2</f>
        <v>23.2</v>
      </c>
      <c r="H104" s="656">
        <f>SUM(Таблица_оружие[[#This Row],[урон макс.]]-Таблица_оружие[[#This Row],[урон мин.]])</f>
        <v>2.3999999999999986</v>
      </c>
      <c r="I104" s="640">
        <v>11</v>
      </c>
      <c r="J104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04" s="727">
        <f>Таблица_оружие[[#This Row],[урон макс.]]*Таблица_оружие[[#This Row],[крит множ]]</f>
        <v>34.159999999999997</v>
      </c>
      <c r="L104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04" s="640">
        <v>65</v>
      </c>
      <c r="N104" s="657">
        <v>95</v>
      </c>
      <c r="O104" s="657"/>
      <c r="P104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04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04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04" s="640">
        <v>5</v>
      </c>
      <c r="T104" s="657">
        <v>7</v>
      </c>
      <c r="U104" s="657"/>
      <c r="V104" s="657">
        <v>14</v>
      </c>
      <c r="W104" s="657">
        <v>18</v>
      </c>
      <c r="X104" s="657"/>
      <c r="Y104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04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04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04" s="653">
        <v>7</v>
      </c>
      <c r="AC104" s="725">
        <f>(Примерочная!$U$7*VLOOKUP(Таблица_оружие[[#This Row],[название]],Таблица_моды_оружие[],11,0))</f>
        <v>0</v>
      </c>
      <c r="AD104" s="657"/>
      <c r="AE104" s="657"/>
      <c r="AF104" s="657"/>
      <c r="AG104" s="654">
        <v>3</v>
      </c>
      <c r="AH104" s="659">
        <v>1.4</v>
      </c>
      <c r="AI104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104" s="931">
        <v>0.6</v>
      </c>
      <c r="AK104" s="360">
        <v>150</v>
      </c>
      <c r="AL104" s="360">
        <v>150</v>
      </c>
      <c r="AM104" s="559">
        <v>0</v>
      </c>
      <c r="AN104" s="967">
        <f>Таблица_оружие[[#This Row],[FH]]*(1+Примерочная!$U$7*VLOOKUP(Примерочная!$V$2,Таблица_моды_оружие[],11,0))-Таблица_оружие[[#This Row],[FH]]</f>
        <v>0</v>
      </c>
      <c r="AO104" s="968">
        <f>Таблица_оружие[[#This Row],[CH]]*(1+Примерочная!$U$7*VLOOKUP(Примерочная!$V$2,Таблица_моды_оружие[],11,0))-Таблица_оружие[[#This Row],[CH]]</f>
        <v>0</v>
      </c>
      <c r="AP104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05" spans="1:42" ht="33" customHeight="1" x14ac:dyDescent="0.25">
      <c r="A105" s="653" t="s">
        <v>222</v>
      </c>
      <c r="B105" s="722"/>
      <c r="C105" s="639">
        <v>18.2</v>
      </c>
      <c r="D105" s="639">
        <v>20.5</v>
      </c>
      <c r="E105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05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05" s="655">
        <f>SUM(Таблица_оружие[[#This Row],[урон макс.]]+Таблица_оружие[[#This Row],[урон мин.]])/2</f>
        <v>19.350000000000001</v>
      </c>
      <c r="H105" s="656">
        <f>SUM(Таблица_оружие[[#This Row],[урон макс.]]-Таблица_оружие[[#This Row],[урон мин.]])</f>
        <v>2.3000000000000007</v>
      </c>
      <c r="I105" s="640">
        <v>8</v>
      </c>
      <c r="J105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05" s="727">
        <f>Таблица_оружие[[#This Row],[урон макс.]]*Таблица_оружие[[#This Row],[крит множ]]</f>
        <v>25.625</v>
      </c>
      <c r="L105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05" s="640">
        <v>75</v>
      </c>
      <c r="N105" s="657">
        <v>90</v>
      </c>
      <c r="O105" s="657"/>
      <c r="P105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05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05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05" s="640">
        <f>2+(2*(Примерочная!$Q$7*0.05))</f>
        <v>2</v>
      </c>
      <c r="T105" s="657">
        <v>5</v>
      </c>
      <c r="U105" s="657"/>
      <c r="V105" s="657">
        <v>8</v>
      </c>
      <c r="W105" s="657">
        <v>15</v>
      </c>
      <c r="X105" s="657"/>
      <c r="Y105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05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05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05" s="653">
        <v>7</v>
      </c>
      <c r="AC105" s="725">
        <f>(Примерочная!$U$7*VLOOKUP(Таблица_оружие[[#This Row],[название]],Таблица_моды_оружие[],11,0))</f>
        <v>0</v>
      </c>
      <c r="AD105" s="657"/>
      <c r="AE105" s="657"/>
      <c r="AF105" s="657"/>
      <c r="AG105" s="654">
        <v>3</v>
      </c>
      <c r="AH105" s="659">
        <v>1.25</v>
      </c>
      <c r="AI105" s="922">
        <f>Таблица_оружие[[#This Row],[крит множ]]+(Таблица_оружие[[#This Row],[крит множ]]*(Примерочная!$S$7*VLOOKUP(Примерочная!$V$2,Таблица_моды_оружие[],6,0)))</f>
        <v>1.25</v>
      </c>
      <c r="AJ105" s="930">
        <v>0.6</v>
      </c>
      <c r="AK105" s="560">
        <v>150</v>
      </c>
      <c r="AL105" s="560">
        <v>150</v>
      </c>
      <c r="AM105" s="739">
        <v>0</v>
      </c>
      <c r="AN105" s="967">
        <f>Таблица_оружие[[#This Row],[FH]]*(1+Примерочная!$U$7*VLOOKUP(Примерочная!$V$2,Таблица_моды_оружие[],11,0))-Таблица_оружие[[#This Row],[FH]]</f>
        <v>0</v>
      </c>
      <c r="AO105" s="968">
        <f>Таблица_оружие[[#This Row],[CH]]*(1+Примерочная!$U$7*VLOOKUP(Примерочная!$V$2,Таблица_моды_оружие[],11,0))-Таблица_оружие[[#This Row],[CH]]</f>
        <v>0</v>
      </c>
      <c r="AP105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06" spans="1:42" ht="33" customHeight="1" x14ac:dyDescent="0.25">
      <c r="A106" s="653" t="s">
        <v>223</v>
      </c>
      <c r="B106" s="722"/>
      <c r="C106" s="639">
        <v>25.6</v>
      </c>
      <c r="D106" s="639">
        <v>28.8</v>
      </c>
      <c r="E106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06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06" s="655">
        <f>SUM(Таблица_оружие[[#This Row],[урон макс.]]+Таблица_оружие[[#This Row],[урон мин.]])/2</f>
        <v>27.200000000000003</v>
      </c>
      <c r="H106" s="656">
        <f>SUM(Таблица_оружие[[#This Row],[урон макс.]]-Таблица_оружие[[#This Row],[урон мин.]])</f>
        <v>3.1999999999999993</v>
      </c>
      <c r="I106" s="640">
        <v>11</v>
      </c>
      <c r="J106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06" s="727">
        <f>Таблица_оружие[[#This Row],[урон макс.]]*Таблица_оружие[[#This Row],[крит множ]]</f>
        <v>40.32</v>
      </c>
      <c r="L106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06" s="640">
        <v>65</v>
      </c>
      <c r="N106" s="657">
        <v>95</v>
      </c>
      <c r="O106" s="657"/>
      <c r="P106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06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06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06" s="640">
        <v>5</v>
      </c>
      <c r="T106" s="657">
        <v>7</v>
      </c>
      <c r="U106" s="657"/>
      <c r="V106" s="657">
        <v>14</v>
      </c>
      <c r="W106" s="657">
        <v>18</v>
      </c>
      <c r="X106" s="657"/>
      <c r="Y106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06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06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06" s="653">
        <v>7</v>
      </c>
      <c r="AC106" s="725">
        <f>(Примерочная!$U$7*VLOOKUP(Таблица_оружие[[#This Row],[название]],Таблица_моды_оружие[],11,0))</f>
        <v>0</v>
      </c>
      <c r="AD106" s="657"/>
      <c r="AE106" s="657"/>
      <c r="AF106" s="657"/>
      <c r="AG106" s="654">
        <v>7</v>
      </c>
      <c r="AH106" s="659">
        <v>1.4</v>
      </c>
      <c r="AI106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106" s="931">
        <v>0.6</v>
      </c>
      <c r="AK106" s="360">
        <v>150</v>
      </c>
      <c r="AL106" s="360">
        <v>150</v>
      </c>
      <c r="AM106" s="559">
        <v>0</v>
      </c>
      <c r="AN106" s="967">
        <f>Таблица_оружие[[#This Row],[FH]]*(1+Примерочная!$U$7*VLOOKUP(Примерочная!$V$2,Таблица_моды_оружие[],11,0))-Таблица_оружие[[#This Row],[FH]]</f>
        <v>0</v>
      </c>
      <c r="AO106" s="968">
        <f>Таблица_оружие[[#This Row],[CH]]*(1+Примерочная!$U$7*VLOOKUP(Примерочная!$V$2,Таблица_моды_оружие[],11,0))-Таблица_оружие[[#This Row],[CH]]</f>
        <v>0</v>
      </c>
      <c r="AP106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07" spans="1:42" ht="33" customHeight="1" x14ac:dyDescent="0.25">
      <c r="A107" s="653" t="s">
        <v>224</v>
      </c>
      <c r="B107" s="722"/>
      <c r="C107" s="639">
        <v>20</v>
      </c>
      <c r="D107" s="639">
        <v>24</v>
      </c>
      <c r="E107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07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07" s="655">
        <f>SUM(Таблица_оружие[[#This Row],[урон макс.]]+Таблица_оружие[[#This Row],[урон мин.]])/2</f>
        <v>22</v>
      </c>
      <c r="H107" s="656">
        <f>SUM(Таблица_оружие[[#This Row],[урон макс.]]-Таблица_оружие[[#This Row],[урон мин.]])</f>
        <v>4</v>
      </c>
      <c r="I107" s="640">
        <v>8</v>
      </c>
      <c r="J107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07" s="727">
        <f>Таблица_оружие[[#This Row],[урон макс.]]*Таблица_оружие[[#This Row],[крит множ]]</f>
        <v>30</v>
      </c>
      <c r="L107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07" s="640">
        <v>75</v>
      </c>
      <c r="N107" s="657">
        <v>90</v>
      </c>
      <c r="O107" s="657"/>
      <c r="P107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07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07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07" s="640">
        <f>2+(2*(Примерочная!$Q$7*0.05))</f>
        <v>2</v>
      </c>
      <c r="T107" s="657">
        <v>5</v>
      </c>
      <c r="U107" s="657"/>
      <c r="V107" s="657">
        <v>8</v>
      </c>
      <c r="W107" s="657">
        <v>15</v>
      </c>
      <c r="X107" s="657"/>
      <c r="Y107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07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07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07" s="653">
        <v>7</v>
      </c>
      <c r="AC107" s="725">
        <f>(Примерочная!$U$7*VLOOKUP(Таблица_оружие[[#This Row],[название]],Таблица_моды_оружие[],11,0))</f>
        <v>0</v>
      </c>
      <c r="AD107" s="657"/>
      <c r="AE107" s="657"/>
      <c r="AF107" s="657"/>
      <c r="AG107" s="654">
        <v>7</v>
      </c>
      <c r="AH107" s="659">
        <v>1.25</v>
      </c>
      <c r="AI107" s="922">
        <f>Таблица_оружие[[#This Row],[крит множ]]+(Таблица_оружие[[#This Row],[крит множ]]*(Примерочная!$S$7*VLOOKUP(Примерочная!$V$2,Таблица_моды_оружие[],6,0)))</f>
        <v>1.25</v>
      </c>
      <c r="AJ107" s="930">
        <v>0.6</v>
      </c>
      <c r="AK107" s="560">
        <v>150</v>
      </c>
      <c r="AL107" s="560">
        <v>150</v>
      </c>
      <c r="AM107" s="739">
        <v>0</v>
      </c>
      <c r="AN107" s="967">
        <f>Таблица_оружие[[#This Row],[FH]]*(1+Примерочная!$U$7*VLOOKUP(Примерочная!$V$2,Таблица_моды_оружие[],11,0))-Таблица_оружие[[#This Row],[FH]]</f>
        <v>0</v>
      </c>
      <c r="AO107" s="968">
        <f>Таблица_оружие[[#This Row],[CH]]*(1+Примерочная!$U$7*VLOOKUP(Примерочная!$V$2,Таблица_моды_оружие[],11,0))-Таблица_оружие[[#This Row],[CH]]</f>
        <v>0</v>
      </c>
      <c r="AP107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08" spans="1:42" ht="33" customHeight="1" x14ac:dyDescent="0.25">
      <c r="A108" s="653" t="s">
        <v>225</v>
      </c>
      <c r="B108" s="722"/>
      <c r="C108" s="639">
        <v>27</v>
      </c>
      <c r="D108" s="639">
        <v>31</v>
      </c>
      <c r="E108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08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08" s="655">
        <f>SUM(Таблица_оружие[[#This Row],[урон макс.]]+Таблица_оружие[[#This Row],[урон мин.]])/2</f>
        <v>29</v>
      </c>
      <c r="H108" s="656">
        <f>SUM(Таблица_оружие[[#This Row],[урон макс.]]-Таблица_оружие[[#This Row],[урон мин.]])</f>
        <v>4</v>
      </c>
      <c r="I108" s="640">
        <v>11</v>
      </c>
      <c r="J108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08" s="727">
        <f>Таблица_оружие[[#This Row],[урон макс.]]*Таблица_оружие[[#This Row],[крит множ]]</f>
        <v>43.4</v>
      </c>
      <c r="L108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08" s="640">
        <v>65</v>
      </c>
      <c r="N108" s="657">
        <v>95</v>
      </c>
      <c r="O108" s="657"/>
      <c r="P108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08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08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08" s="640">
        <v>5</v>
      </c>
      <c r="T108" s="657">
        <v>7</v>
      </c>
      <c r="U108" s="657"/>
      <c r="V108" s="657">
        <v>14</v>
      </c>
      <c r="W108" s="657">
        <v>18</v>
      </c>
      <c r="X108" s="657"/>
      <c r="Y108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08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08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08" s="653">
        <v>7</v>
      </c>
      <c r="AC108" s="725">
        <f>(Примерочная!$U$7*VLOOKUP(Таблица_оружие[[#This Row],[название]],Таблица_моды_оружие[],11,0))</f>
        <v>0</v>
      </c>
      <c r="AD108" s="657"/>
      <c r="AE108" s="657"/>
      <c r="AF108" s="657"/>
      <c r="AG108" s="654">
        <v>10</v>
      </c>
      <c r="AH108" s="659">
        <v>1.4</v>
      </c>
      <c r="AI108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108" s="931">
        <v>0.6</v>
      </c>
      <c r="AK108" s="360">
        <v>150</v>
      </c>
      <c r="AL108" s="360">
        <v>150</v>
      </c>
      <c r="AM108" s="559">
        <v>0</v>
      </c>
      <c r="AN108" s="967">
        <f>Таблица_оружие[[#This Row],[FH]]*(1+Примерочная!$U$7*VLOOKUP(Примерочная!$V$2,Таблица_моды_оружие[],11,0))-Таблица_оружие[[#This Row],[FH]]</f>
        <v>0</v>
      </c>
      <c r="AO108" s="968">
        <f>Таблица_оружие[[#This Row],[CH]]*(1+Примерочная!$U$7*VLOOKUP(Примерочная!$V$2,Таблица_моды_оружие[],11,0))-Таблица_оружие[[#This Row],[CH]]</f>
        <v>0</v>
      </c>
      <c r="AP108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09" spans="1:42" ht="33" customHeight="1" x14ac:dyDescent="0.25">
      <c r="A109" s="653" t="s">
        <v>226</v>
      </c>
      <c r="B109" s="722"/>
      <c r="C109" s="639">
        <v>23</v>
      </c>
      <c r="D109" s="639">
        <v>26</v>
      </c>
      <c r="E109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09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09" s="655">
        <f>SUM(Таблица_оружие[[#This Row],[урон макс.]]+Таблица_оружие[[#This Row],[урон мин.]])/2</f>
        <v>24.5</v>
      </c>
      <c r="H109" s="656">
        <f>SUM(Таблица_оружие[[#This Row],[урон макс.]]-Таблица_оружие[[#This Row],[урон мин.]])</f>
        <v>3</v>
      </c>
      <c r="I109" s="640">
        <v>8</v>
      </c>
      <c r="J109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09" s="727">
        <f>Таблица_оружие[[#This Row],[урон макс.]]*Таблица_оружие[[#This Row],[крит множ]]</f>
        <v>32.5</v>
      </c>
      <c r="L109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09" s="640">
        <v>75</v>
      </c>
      <c r="N109" s="657">
        <v>90</v>
      </c>
      <c r="O109" s="657"/>
      <c r="P109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09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09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09" s="640">
        <f>2+(2*(Примерочная!$Q$7*0.05))</f>
        <v>2</v>
      </c>
      <c r="T109" s="657">
        <v>5</v>
      </c>
      <c r="U109" s="657"/>
      <c r="V109" s="657">
        <v>8</v>
      </c>
      <c r="W109" s="657">
        <v>15</v>
      </c>
      <c r="X109" s="657"/>
      <c r="Y109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09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09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09" s="653">
        <v>7</v>
      </c>
      <c r="AC109" s="725">
        <f>(Примерочная!$U$7*VLOOKUP(Таблица_оружие[[#This Row],[название]],Таблица_моды_оружие[],11,0))</f>
        <v>0</v>
      </c>
      <c r="AD109" s="657"/>
      <c r="AE109" s="657"/>
      <c r="AF109" s="657"/>
      <c r="AG109" s="654">
        <v>10</v>
      </c>
      <c r="AH109" s="659">
        <v>1.25</v>
      </c>
      <c r="AI109" s="922">
        <f>Таблица_оружие[[#This Row],[крит множ]]+(Таблица_оружие[[#This Row],[крит множ]]*(Примерочная!$S$7*VLOOKUP(Примерочная!$V$2,Таблица_моды_оружие[],6,0)))</f>
        <v>1.25</v>
      </c>
      <c r="AJ109" s="930">
        <v>0.6</v>
      </c>
      <c r="AK109" s="560">
        <v>150</v>
      </c>
      <c r="AL109" s="560">
        <v>150</v>
      </c>
      <c r="AM109" s="739">
        <v>0</v>
      </c>
      <c r="AN109" s="967">
        <f>Таблица_оружие[[#This Row],[FH]]*(1+Примерочная!$U$7*VLOOKUP(Примерочная!$V$2,Таблица_моды_оружие[],11,0))-Таблица_оружие[[#This Row],[FH]]</f>
        <v>0</v>
      </c>
      <c r="AO109" s="968">
        <f>Таблица_оружие[[#This Row],[CH]]*(1+Примерочная!$U$7*VLOOKUP(Примерочная!$V$2,Таблица_моды_оружие[],11,0))-Таблица_оружие[[#This Row],[CH]]</f>
        <v>0</v>
      </c>
      <c r="AP109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10" spans="1:42" ht="33" customHeight="1" x14ac:dyDescent="0.25">
      <c r="A110" s="653" t="s">
        <v>227</v>
      </c>
      <c r="B110" s="722"/>
      <c r="C110" s="639">
        <v>29.6</v>
      </c>
      <c r="D110" s="639">
        <v>33.299999999999997</v>
      </c>
      <c r="E110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10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10" s="655">
        <f>SUM(Таблица_оружие[[#This Row],[урон макс.]]+Таблица_оружие[[#This Row],[урон мин.]])/2</f>
        <v>31.45</v>
      </c>
      <c r="H110" s="656">
        <f>SUM(Таблица_оружие[[#This Row],[урон макс.]]-Таблица_оружие[[#This Row],[урон мин.]])</f>
        <v>3.6999999999999957</v>
      </c>
      <c r="I110" s="640">
        <v>12</v>
      </c>
      <c r="J110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10" s="727">
        <f>Таблица_оружие[[#This Row],[урон макс.]]*Таблица_оружие[[#This Row],[крит множ]]</f>
        <v>46.61999999999999</v>
      </c>
      <c r="L110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10" s="640">
        <v>65</v>
      </c>
      <c r="N110" s="657">
        <v>95</v>
      </c>
      <c r="O110" s="657"/>
      <c r="P110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10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10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10" s="640">
        <v>6</v>
      </c>
      <c r="T110" s="657">
        <v>8</v>
      </c>
      <c r="U110" s="657"/>
      <c r="V110" s="657">
        <v>15</v>
      </c>
      <c r="W110" s="657">
        <v>19</v>
      </c>
      <c r="X110" s="657"/>
      <c r="Y110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10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10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10" s="653">
        <v>7</v>
      </c>
      <c r="AC110" s="725">
        <f>(Примерочная!$U$7*VLOOKUP(Таблица_оружие[[#This Row],[название]],Таблица_моды_оружие[],11,0))</f>
        <v>0</v>
      </c>
      <c r="AD110" s="657"/>
      <c r="AE110" s="657"/>
      <c r="AF110" s="657"/>
      <c r="AG110" s="654">
        <v>14</v>
      </c>
      <c r="AH110" s="659">
        <v>1.4</v>
      </c>
      <c r="AI110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110" s="931">
        <v>0.6</v>
      </c>
      <c r="AK110" s="360">
        <v>150</v>
      </c>
      <c r="AL110" s="360">
        <v>150</v>
      </c>
      <c r="AM110" s="559">
        <v>0</v>
      </c>
      <c r="AN110" s="967">
        <f>Таблица_оружие[[#This Row],[FH]]*(1+Примерочная!$U$7*VLOOKUP(Примерочная!$V$2,Таблица_моды_оружие[],11,0))-Таблица_оружие[[#This Row],[FH]]</f>
        <v>0</v>
      </c>
      <c r="AO110" s="968">
        <f>Таблица_оружие[[#This Row],[CH]]*(1+Примерочная!$U$7*VLOOKUP(Примерочная!$V$2,Таблица_моды_оружие[],11,0))-Таблица_оружие[[#This Row],[CH]]</f>
        <v>0</v>
      </c>
      <c r="AP110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11" spans="1:42" ht="33" customHeight="1" x14ac:dyDescent="0.25">
      <c r="A111" s="653" t="s">
        <v>228</v>
      </c>
      <c r="B111" s="722"/>
      <c r="C111" s="639">
        <v>25.4</v>
      </c>
      <c r="D111" s="639">
        <v>28.6</v>
      </c>
      <c r="E111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11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11" s="655">
        <f>SUM(Таблица_оружие[[#This Row],[урон макс.]]+Таблица_оружие[[#This Row],[урон мин.]])/2</f>
        <v>27</v>
      </c>
      <c r="H111" s="656">
        <f>SUM(Таблица_оружие[[#This Row],[урон макс.]]-Таблица_оружие[[#This Row],[урон мин.]])</f>
        <v>3.2000000000000028</v>
      </c>
      <c r="I111" s="640">
        <v>9</v>
      </c>
      <c r="J111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11" s="727">
        <f>Таблица_оружие[[#This Row],[урон макс.]]*Таблица_оружие[[#This Row],[крит множ]]</f>
        <v>35.75</v>
      </c>
      <c r="L111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11" s="640">
        <v>75</v>
      </c>
      <c r="N111" s="657">
        <v>90</v>
      </c>
      <c r="O111" s="657"/>
      <c r="P111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11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11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11" s="640">
        <f>2+(2*(Примерочная!$Q$7*0.05))</f>
        <v>2</v>
      </c>
      <c r="T111" s="657">
        <v>6</v>
      </c>
      <c r="U111" s="657"/>
      <c r="V111" s="657">
        <v>9</v>
      </c>
      <c r="W111" s="657">
        <v>16</v>
      </c>
      <c r="X111" s="657"/>
      <c r="Y111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11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11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11" s="653">
        <v>7</v>
      </c>
      <c r="AC111" s="725">
        <f>(Примерочная!$U$7*VLOOKUP(Таблица_оружие[[#This Row],[название]],Таблица_моды_оружие[],11,0))</f>
        <v>0</v>
      </c>
      <c r="AD111" s="657"/>
      <c r="AE111" s="657"/>
      <c r="AF111" s="657"/>
      <c r="AG111" s="654">
        <v>14</v>
      </c>
      <c r="AH111" s="659">
        <v>1.25</v>
      </c>
      <c r="AI111" s="922">
        <f>Таблица_оружие[[#This Row],[крит множ]]+(Таблица_оружие[[#This Row],[крит множ]]*(Примерочная!$S$7*VLOOKUP(Примерочная!$V$2,Таблица_моды_оружие[],6,0)))</f>
        <v>1.25</v>
      </c>
      <c r="AJ111" s="930">
        <v>0.6</v>
      </c>
      <c r="AK111" s="560">
        <v>150</v>
      </c>
      <c r="AL111" s="560">
        <v>150</v>
      </c>
      <c r="AM111" s="739">
        <v>0</v>
      </c>
      <c r="AN111" s="967">
        <f>Таблица_оружие[[#This Row],[FH]]*(1+Примерочная!$U$7*VLOOKUP(Примерочная!$V$2,Таблица_моды_оружие[],11,0))-Таблица_оружие[[#This Row],[FH]]</f>
        <v>0</v>
      </c>
      <c r="AO111" s="968">
        <f>Таблица_оружие[[#This Row],[CH]]*(1+Примерочная!$U$7*VLOOKUP(Примерочная!$V$2,Таблица_моды_оружие[],11,0))-Таблица_оружие[[#This Row],[CH]]</f>
        <v>0</v>
      </c>
      <c r="AP111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12" spans="1:42" ht="33" customHeight="1" x14ac:dyDescent="0.25">
      <c r="A112" s="653" t="s">
        <v>229</v>
      </c>
      <c r="B112" s="722"/>
      <c r="C112" s="639">
        <v>32.799999999999997</v>
      </c>
      <c r="D112" s="639">
        <v>36.9</v>
      </c>
      <c r="E112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12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12" s="655">
        <f>SUM(Таблица_оружие[[#This Row],[урон макс.]]+Таблица_оружие[[#This Row],[урон мин.]])/2</f>
        <v>34.849999999999994</v>
      </c>
      <c r="H112" s="656">
        <f>SUM(Таблица_оружие[[#This Row],[урон макс.]]-Таблица_оружие[[#This Row],[урон мин.]])</f>
        <v>4.1000000000000014</v>
      </c>
      <c r="I112" s="640">
        <v>12</v>
      </c>
      <c r="J112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12" s="727">
        <f>Таблица_оружие[[#This Row],[урон макс.]]*Таблица_оружие[[#This Row],[крит множ]]</f>
        <v>51.66</v>
      </c>
      <c r="L112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12" s="640">
        <v>65</v>
      </c>
      <c r="N112" s="657">
        <v>95</v>
      </c>
      <c r="O112" s="657"/>
      <c r="P112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12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12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12" s="640">
        <v>6</v>
      </c>
      <c r="T112" s="657">
        <v>8</v>
      </c>
      <c r="U112" s="657"/>
      <c r="V112" s="657">
        <v>15</v>
      </c>
      <c r="W112" s="657">
        <v>19</v>
      </c>
      <c r="X112" s="657"/>
      <c r="Y112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12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12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12" s="653">
        <v>7</v>
      </c>
      <c r="AC112" s="725">
        <f>(Примерочная!$U$7*VLOOKUP(Таблица_оружие[[#This Row],[название]],Таблица_моды_оружие[],11,0))</f>
        <v>0</v>
      </c>
      <c r="AD112" s="657"/>
      <c r="AE112" s="657"/>
      <c r="AF112" s="657"/>
      <c r="AG112" s="654">
        <v>17</v>
      </c>
      <c r="AH112" s="659">
        <v>1.4</v>
      </c>
      <c r="AI112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112" s="931">
        <v>0.6</v>
      </c>
      <c r="AK112" s="360">
        <v>150</v>
      </c>
      <c r="AL112" s="360">
        <v>150</v>
      </c>
      <c r="AM112" s="559">
        <v>0</v>
      </c>
      <c r="AN112" s="967">
        <f>Таблица_оружие[[#This Row],[FH]]*(1+Примерочная!$U$7*VLOOKUP(Примерочная!$V$2,Таблица_моды_оружие[],11,0))-Таблица_оружие[[#This Row],[FH]]</f>
        <v>0</v>
      </c>
      <c r="AO112" s="968">
        <f>Таблица_оружие[[#This Row],[CH]]*(1+Примерочная!$U$7*VLOOKUP(Примерочная!$V$2,Таблица_моды_оружие[],11,0))-Таблица_оружие[[#This Row],[CH]]</f>
        <v>0</v>
      </c>
      <c r="AP112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13" spans="1:42" ht="33" customHeight="1" x14ac:dyDescent="0.25">
      <c r="A113" s="653" t="s">
        <v>230</v>
      </c>
      <c r="B113" s="722"/>
      <c r="C113" s="639">
        <v>28.8</v>
      </c>
      <c r="D113" s="639">
        <v>32</v>
      </c>
      <c r="E113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13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13" s="655">
        <f>SUM(Таблица_оружие[[#This Row],[урон макс.]]+Таблица_оружие[[#This Row],[урон мин.]])/2</f>
        <v>30.4</v>
      </c>
      <c r="H113" s="656">
        <f>SUM(Таблица_оружие[[#This Row],[урон макс.]]-Таблица_оружие[[#This Row],[урон мин.]])</f>
        <v>3.1999999999999993</v>
      </c>
      <c r="I113" s="640">
        <v>9</v>
      </c>
      <c r="J113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13" s="727">
        <f>Таблица_оружие[[#This Row],[урон макс.]]*Таблица_оружие[[#This Row],[крит множ]]</f>
        <v>40</v>
      </c>
      <c r="L113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13" s="640">
        <v>75</v>
      </c>
      <c r="N113" s="657">
        <v>90</v>
      </c>
      <c r="O113" s="657"/>
      <c r="P113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13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13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13" s="640">
        <f>2+(2*(Примерочная!$Q$7*0.05))</f>
        <v>2</v>
      </c>
      <c r="T113" s="657">
        <v>6</v>
      </c>
      <c r="U113" s="657"/>
      <c r="V113" s="657">
        <v>9</v>
      </c>
      <c r="W113" s="657">
        <v>16</v>
      </c>
      <c r="X113" s="657"/>
      <c r="Y113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13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13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13" s="653">
        <v>7</v>
      </c>
      <c r="AC113" s="725">
        <f>(Примерочная!$U$7*VLOOKUP(Таблица_оружие[[#This Row],[название]],Таблица_моды_оружие[],11,0))</f>
        <v>0</v>
      </c>
      <c r="AD113" s="657"/>
      <c r="AE113" s="657"/>
      <c r="AF113" s="657"/>
      <c r="AG113" s="654">
        <v>17</v>
      </c>
      <c r="AH113" s="659">
        <v>1.25</v>
      </c>
      <c r="AI113" s="922">
        <f>Таблица_оружие[[#This Row],[крит множ]]+(Таблица_оружие[[#This Row],[крит множ]]*(Примерочная!$S$7*VLOOKUP(Примерочная!$V$2,Таблица_моды_оружие[],6,0)))</f>
        <v>1.25</v>
      </c>
      <c r="AJ113" s="930">
        <v>0.6</v>
      </c>
      <c r="AK113" s="560">
        <v>150</v>
      </c>
      <c r="AL113" s="560">
        <v>150</v>
      </c>
      <c r="AM113" s="739">
        <v>0</v>
      </c>
      <c r="AN113" s="967">
        <f>Таблица_оружие[[#This Row],[FH]]*(1+Примерочная!$U$7*VLOOKUP(Примерочная!$V$2,Таблица_моды_оружие[],11,0))-Таблица_оружие[[#This Row],[FH]]</f>
        <v>0</v>
      </c>
      <c r="AO113" s="968">
        <f>Таблица_оружие[[#This Row],[CH]]*(1+Примерочная!$U$7*VLOOKUP(Примерочная!$V$2,Таблица_моды_оружие[],11,0))-Таблица_оружие[[#This Row],[CH]]</f>
        <v>0</v>
      </c>
      <c r="AP113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14" spans="1:42" ht="33" customHeight="1" x14ac:dyDescent="0.25">
      <c r="A114" s="653" t="s">
        <v>231</v>
      </c>
      <c r="B114" s="722"/>
      <c r="C114" s="639">
        <v>36</v>
      </c>
      <c r="D114" s="639">
        <v>40</v>
      </c>
      <c r="E114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14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14" s="655">
        <f>SUM(Таблица_оружие[[#This Row],[урон макс.]]+Таблица_оружие[[#This Row],[урон мин.]])/2</f>
        <v>38</v>
      </c>
      <c r="H114" s="656">
        <f>SUM(Таблица_оружие[[#This Row],[урон макс.]]-Таблица_оружие[[#This Row],[урон мин.]])</f>
        <v>4</v>
      </c>
      <c r="I114" s="640">
        <v>12</v>
      </c>
      <c r="J114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14" s="727">
        <f>Таблица_оружие[[#This Row],[урон макс.]]*Таблица_оружие[[#This Row],[крит множ]]</f>
        <v>56</v>
      </c>
      <c r="L114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14" s="640">
        <v>65</v>
      </c>
      <c r="N114" s="657">
        <v>95</v>
      </c>
      <c r="O114" s="657"/>
      <c r="P114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14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14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14" s="640">
        <v>6</v>
      </c>
      <c r="T114" s="657">
        <v>8</v>
      </c>
      <c r="U114" s="657"/>
      <c r="V114" s="657">
        <v>15</v>
      </c>
      <c r="W114" s="657">
        <v>19</v>
      </c>
      <c r="X114" s="657"/>
      <c r="Y114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14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14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14" s="653">
        <v>7</v>
      </c>
      <c r="AC114" s="725">
        <f>(Примерочная!$U$7*VLOOKUP(Таблица_оружие[[#This Row],[название]],Таблица_моды_оружие[],11,0))</f>
        <v>0</v>
      </c>
      <c r="AD114" s="657"/>
      <c r="AE114" s="657"/>
      <c r="AF114" s="657"/>
      <c r="AG114" s="654">
        <v>19</v>
      </c>
      <c r="AH114" s="659">
        <v>1.4</v>
      </c>
      <c r="AI114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114" s="931">
        <v>0.6</v>
      </c>
      <c r="AK114" s="360">
        <v>150</v>
      </c>
      <c r="AL114" s="360">
        <v>150</v>
      </c>
      <c r="AM114" s="559">
        <v>0</v>
      </c>
      <c r="AN114" s="967">
        <f>Таблица_оружие[[#This Row],[FH]]*(1+Примерочная!$U$7*VLOOKUP(Примерочная!$V$2,Таблица_моды_оружие[],11,0))-Таблица_оружие[[#This Row],[FH]]</f>
        <v>0</v>
      </c>
      <c r="AO114" s="968">
        <f>Таблица_оружие[[#This Row],[CH]]*(1+Примерочная!$U$7*VLOOKUP(Примерочная!$V$2,Таблица_моды_оружие[],11,0))-Таблица_оружие[[#This Row],[CH]]</f>
        <v>0</v>
      </c>
      <c r="AP114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15" spans="1:42" ht="33" customHeight="1" x14ac:dyDescent="0.25">
      <c r="A115" s="653" t="s">
        <v>232</v>
      </c>
      <c r="B115" s="722"/>
      <c r="C115" s="639">
        <v>31.5</v>
      </c>
      <c r="D115" s="639">
        <v>35</v>
      </c>
      <c r="E115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15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15" s="655">
        <f>SUM(Таблица_оружие[[#This Row],[урон макс.]]+Таблица_оружие[[#This Row],[урон мин.]])/2</f>
        <v>33.25</v>
      </c>
      <c r="H115" s="656">
        <f>SUM(Таблица_оружие[[#This Row],[урон макс.]]-Таблица_оружие[[#This Row],[урон мин.]])</f>
        <v>3.5</v>
      </c>
      <c r="I115" s="640">
        <v>9</v>
      </c>
      <c r="J115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15" s="727">
        <f>Таблица_оружие[[#This Row],[урон макс.]]*Таблица_оружие[[#This Row],[крит множ]]</f>
        <v>43.75</v>
      </c>
      <c r="L115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15" s="640">
        <v>75</v>
      </c>
      <c r="N115" s="657">
        <v>90</v>
      </c>
      <c r="O115" s="657"/>
      <c r="P115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15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15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15" s="640">
        <f>2+(2*(Примерочная!$Q$7*0.05))</f>
        <v>2</v>
      </c>
      <c r="T115" s="657">
        <v>6</v>
      </c>
      <c r="U115" s="657"/>
      <c r="V115" s="657">
        <v>9</v>
      </c>
      <c r="W115" s="657">
        <v>16</v>
      </c>
      <c r="X115" s="657"/>
      <c r="Y115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15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15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15" s="653">
        <v>7</v>
      </c>
      <c r="AC115" s="725">
        <f>(Примерочная!$U$7*VLOOKUP(Таблица_оружие[[#This Row],[название]],Таблица_моды_оружие[],11,0))</f>
        <v>0</v>
      </c>
      <c r="AD115" s="657"/>
      <c r="AE115" s="657"/>
      <c r="AF115" s="657"/>
      <c r="AG115" s="654">
        <v>19</v>
      </c>
      <c r="AH115" s="659">
        <v>1.25</v>
      </c>
      <c r="AI115" s="922">
        <f>Таблица_оружие[[#This Row],[крит множ]]+(Таблица_оружие[[#This Row],[крит множ]]*(Примерочная!$S$7*VLOOKUP(Примерочная!$V$2,Таблица_моды_оружие[],6,0)))</f>
        <v>1.25</v>
      </c>
      <c r="AJ115" s="930">
        <v>0.6</v>
      </c>
      <c r="AK115" s="560">
        <v>150</v>
      </c>
      <c r="AL115" s="560">
        <v>150</v>
      </c>
      <c r="AM115" s="739">
        <v>0</v>
      </c>
      <c r="AN115" s="967">
        <f>Таблица_оружие[[#This Row],[FH]]*(1+Примерочная!$U$7*VLOOKUP(Примерочная!$V$2,Таблица_моды_оружие[],11,0))-Таблица_оружие[[#This Row],[FH]]</f>
        <v>0</v>
      </c>
      <c r="AO115" s="968">
        <f>Таблица_оружие[[#This Row],[CH]]*(1+Примерочная!$U$7*VLOOKUP(Примерочная!$V$2,Таблица_моды_оружие[],11,0))-Таблица_оружие[[#This Row],[CH]]</f>
        <v>0</v>
      </c>
      <c r="AP115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16" spans="1:42" ht="33" customHeight="1" x14ac:dyDescent="0.25">
      <c r="A116" s="653" t="s">
        <v>233</v>
      </c>
      <c r="B116" s="722"/>
      <c r="C116" s="639">
        <v>40.5</v>
      </c>
      <c r="D116" s="639">
        <v>45</v>
      </c>
      <c r="E116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16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16" s="655">
        <f>SUM(Таблица_оружие[[#This Row],[урон макс.]]+Таблица_оружие[[#This Row],[урон мин.]])/2</f>
        <v>42.75</v>
      </c>
      <c r="H116" s="656">
        <f>SUM(Таблица_оружие[[#This Row],[урон макс.]]-Таблица_оружие[[#This Row],[урон мин.]])</f>
        <v>4.5</v>
      </c>
      <c r="I116" s="640">
        <v>12</v>
      </c>
      <c r="J116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16" s="727">
        <f>Таблица_оружие[[#This Row],[урон макс.]]*Таблица_оружие[[#This Row],[крит множ]]</f>
        <v>62.999999999999993</v>
      </c>
      <c r="L116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16" s="640">
        <v>65</v>
      </c>
      <c r="N116" s="657">
        <v>95</v>
      </c>
      <c r="O116" s="657"/>
      <c r="P116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16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16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16" s="640">
        <v>6</v>
      </c>
      <c r="T116" s="657">
        <v>8</v>
      </c>
      <c r="U116" s="657"/>
      <c r="V116" s="657">
        <v>15</v>
      </c>
      <c r="W116" s="657">
        <v>19</v>
      </c>
      <c r="X116" s="657"/>
      <c r="Y116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16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16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16" s="653">
        <v>7</v>
      </c>
      <c r="AC116" s="725">
        <f>(Примерочная!$U$7*VLOOKUP(Таблица_оружие[[#This Row],[название]],Таблица_моды_оружие[],11,0))</f>
        <v>0</v>
      </c>
      <c r="AD116" s="657"/>
      <c r="AE116" s="657"/>
      <c r="AF116" s="657"/>
      <c r="AG116" s="654">
        <v>21</v>
      </c>
      <c r="AH116" s="659">
        <v>1.4</v>
      </c>
      <c r="AI116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116" s="931">
        <v>0.6</v>
      </c>
      <c r="AK116" s="360">
        <v>150</v>
      </c>
      <c r="AL116" s="360">
        <v>150</v>
      </c>
      <c r="AM116" s="559">
        <v>0</v>
      </c>
      <c r="AN116" s="967">
        <f>Таблица_оружие[[#This Row],[FH]]*(1+Примерочная!$U$7*VLOOKUP(Примерочная!$V$2,Таблица_моды_оружие[],11,0))-Таблица_оружие[[#This Row],[FH]]</f>
        <v>0</v>
      </c>
      <c r="AO116" s="968">
        <f>Таблица_оружие[[#This Row],[CH]]*(1+Примерочная!$U$7*VLOOKUP(Примерочная!$V$2,Таблица_моды_оружие[],11,0))-Таблица_оружие[[#This Row],[CH]]</f>
        <v>0</v>
      </c>
      <c r="AP116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17" spans="1:42" ht="33" customHeight="1" x14ac:dyDescent="0.25">
      <c r="A117" s="653" t="s">
        <v>234</v>
      </c>
      <c r="B117" s="722"/>
      <c r="C117" s="639">
        <v>36</v>
      </c>
      <c r="D117" s="639">
        <v>40</v>
      </c>
      <c r="E117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17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17" s="655">
        <f>SUM(Таблица_оружие[[#This Row],[урон макс.]]+Таблица_оружие[[#This Row],[урон мин.]])/2</f>
        <v>38</v>
      </c>
      <c r="H117" s="656">
        <f>SUM(Таблица_оружие[[#This Row],[урон макс.]]-Таблица_оружие[[#This Row],[урон мин.]])</f>
        <v>4</v>
      </c>
      <c r="I117" s="640">
        <v>9</v>
      </c>
      <c r="J117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17" s="727">
        <f>Таблица_оружие[[#This Row],[урон макс.]]*Таблица_оружие[[#This Row],[крит множ]]</f>
        <v>50</v>
      </c>
      <c r="L117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17" s="640">
        <v>75</v>
      </c>
      <c r="N117" s="657">
        <v>90</v>
      </c>
      <c r="O117" s="657"/>
      <c r="P117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17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17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17" s="640">
        <f>2+(2*(Примерочная!$Q$7*0.05))</f>
        <v>2</v>
      </c>
      <c r="T117" s="657">
        <v>6</v>
      </c>
      <c r="U117" s="657"/>
      <c r="V117" s="657">
        <v>9</v>
      </c>
      <c r="W117" s="657">
        <v>16</v>
      </c>
      <c r="X117" s="657"/>
      <c r="Y117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17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17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17" s="653">
        <v>7</v>
      </c>
      <c r="AC117" s="725">
        <f>(Примерочная!$U$7*VLOOKUP(Таблица_оружие[[#This Row],[название]],Таблица_моды_оружие[],11,0))</f>
        <v>0</v>
      </c>
      <c r="AD117" s="657"/>
      <c r="AE117" s="657"/>
      <c r="AF117" s="657"/>
      <c r="AG117" s="654">
        <v>21</v>
      </c>
      <c r="AH117" s="659">
        <v>1.25</v>
      </c>
      <c r="AI117" s="922">
        <f>Таблица_оружие[[#This Row],[крит множ]]+(Таблица_оружие[[#This Row],[крит множ]]*(Примерочная!$S$7*VLOOKUP(Примерочная!$V$2,Таблица_моды_оружие[],6,0)))</f>
        <v>1.25</v>
      </c>
      <c r="AJ117" s="930">
        <v>0.6</v>
      </c>
      <c r="AK117" s="560">
        <v>150</v>
      </c>
      <c r="AL117" s="560">
        <v>150</v>
      </c>
      <c r="AM117" s="739">
        <v>0</v>
      </c>
      <c r="AN117" s="967">
        <f>Таблица_оружие[[#This Row],[FH]]*(1+Примерочная!$U$7*VLOOKUP(Примерочная!$V$2,Таблица_моды_оружие[],11,0))-Таблица_оружие[[#This Row],[FH]]</f>
        <v>0</v>
      </c>
      <c r="AO117" s="968">
        <f>Таблица_оружие[[#This Row],[CH]]*(1+Примерочная!$U$7*VLOOKUP(Примерочная!$V$2,Таблица_моды_оружие[],11,0))-Таблица_оружие[[#This Row],[CH]]</f>
        <v>0</v>
      </c>
      <c r="AP117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18" spans="1:42" ht="33" customHeight="1" x14ac:dyDescent="0.25">
      <c r="A118" s="653" t="s">
        <v>235</v>
      </c>
      <c r="B118" s="722"/>
      <c r="C118" s="639">
        <v>44.1</v>
      </c>
      <c r="D118" s="639">
        <v>49</v>
      </c>
      <c r="E118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18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18" s="655">
        <f>SUM(Таблица_оружие[[#This Row],[урон макс.]]+Таблица_оружие[[#This Row],[урон мин.]])/2</f>
        <v>46.55</v>
      </c>
      <c r="H118" s="656">
        <f>SUM(Таблица_оружие[[#This Row],[урон макс.]]-Таблица_оружие[[#This Row],[урон мин.]])</f>
        <v>4.8999999999999986</v>
      </c>
      <c r="I118" s="640">
        <v>12</v>
      </c>
      <c r="J118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18" s="727">
        <f>Таблица_оружие[[#This Row],[урон макс.]]*Таблица_оружие[[#This Row],[крит множ]]</f>
        <v>68.599999999999994</v>
      </c>
      <c r="L118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18" s="640">
        <v>65</v>
      </c>
      <c r="N118" s="657">
        <v>95</v>
      </c>
      <c r="O118" s="657"/>
      <c r="P118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18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18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18" s="640">
        <v>6</v>
      </c>
      <c r="T118" s="657">
        <v>8</v>
      </c>
      <c r="U118" s="657"/>
      <c r="V118" s="657">
        <v>15</v>
      </c>
      <c r="W118" s="657">
        <v>19</v>
      </c>
      <c r="X118" s="657"/>
      <c r="Y118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18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18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18" s="653">
        <v>7</v>
      </c>
      <c r="AC118" s="725">
        <f>(Примерочная!$U$7*VLOOKUP(Таблица_оружие[[#This Row],[название]],Таблица_моды_оружие[],11,0))</f>
        <v>0</v>
      </c>
      <c r="AD118" s="657"/>
      <c r="AE118" s="657"/>
      <c r="AF118" s="657"/>
      <c r="AG118" s="654">
        <v>23</v>
      </c>
      <c r="AH118" s="659">
        <v>1.4</v>
      </c>
      <c r="AI118" s="922">
        <f>Таблица_оружие[[#This Row],[крит множ]]+(Таблица_оружие[[#This Row],[крит множ]]*(Примерочная!$S$7*VLOOKUP(Примерочная!$V$2,Таблица_моды_оружие[],6,0)))</f>
        <v>1.4</v>
      </c>
      <c r="AJ118" s="931">
        <v>0.6</v>
      </c>
      <c r="AK118" s="360">
        <v>150</v>
      </c>
      <c r="AL118" s="360">
        <v>150</v>
      </c>
      <c r="AM118" s="559">
        <v>0</v>
      </c>
      <c r="AN118" s="967">
        <f>Таблица_оружие[[#This Row],[FH]]*(1+Примерочная!$U$7*VLOOKUP(Примерочная!$V$2,Таблица_моды_оружие[],11,0))-Таблица_оружие[[#This Row],[FH]]</f>
        <v>0</v>
      </c>
      <c r="AO118" s="968">
        <f>Таблица_оружие[[#This Row],[CH]]*(1+Примерочная!$U$7*VLOOKUP(Примерочная!$V$2,Таблица_моды_оружие[],11,0))-Таблица_оружие[[#This Row],[CH]]</f>
        <v>0</v>
      </c>
      <c r="AP118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19" spans="1:42" ht="33" customHeight="1" x14ac:dyDescent="0.25">
      <c r="A119" s="653" t="s">
        <v>236</v>
      </c>
      <c r="B119" s="722"/>
      <c r="C119" s="639">
        <v>39.6</v>
      </c>
      <c r="D119" s="639">
        <v>44</v>
      </c>
      <c r="E119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19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19" s="655">
        <f>SUM(Таблица_оружие[[#This Row],[урон макс.]]+Таблица_оружие[[#This Row],[урон мин.]])/2</f>
        <v>41.8</v>
      </c>
      <c r="H119" s="656">
        <f>SUM(Таблица_оружие[[#This Row],[урон макс.]]-Таблица_оружие[[#This Row],[урон мин.]])</f>
        <v>4.3999999999999986</v>
      </c>
      <c r="I119" s="640">
        <v>9</v>
      </c>
      <c r="J119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19" s="727">
        <f>Таблица_оружие[[#This Row],[урон макс.]]*Таблица_оружие[[#This Row],[крит множ]]</f>
        <v>55</v>
      </c>
      <c r="L119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19" s="640">
        <v>75</v>
      </c>
      <c r="N119" s="657">
        <v>90</v>
      </c>
      <c r="O119" s="657"/>
      <c r="P119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19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19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19" s="640">
        <f>2+(2*(Примерочная!$Q$7*0.05))</f>
        <v>2</v>
      </c>
      <c r="T119" s="657">
        <v>6</v>
      </c>
      <c r="U119" s="657"/>
      <c r="V119" s="657">
        <v>9</v>
      </c>
      <c r="W119" s="657">
        <v>16</v>
      </c>
      <c r="X119" s="657"/>
      <c r="Y119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19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19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19" s="653">
        <v>7</v>
      </c>
      <c r="AC119" s="725">
        <f>(Примерочная!$U$7*VLOOKUP(Таблица_оружие[[#This Row],[название]],Таблица_моды_оружие[],11,0))</f>
        <v>0</v>
      </c>
      <c r="AD119" s="657"/>
      <c r="AE119" s="657"/>
      <c r="AF119" s="657"/>
      <c r="AG119" s="654">
        <v>23</v>
      </c>
      <c r="AH119" s="659">
        <v>1.25</v>
      </c>
      <c r="AI119" s="922">
        <f>Таблица_оружие[[#This Row],[крит множ]]+(Таблица_оружие[[#This Row],[крит множ]]*(Примерочная!$S$7*VLOOKUP(Примерочная!$V$2,Таблица_моды_оружие[],6,0)))</f>
        <v>1.25</v>
      </c>
      <c r="AJ119" s="930">
        <v>0.6</v>
      </c>
      <c r="AK119" s="560">
        <v>150</v>
      </c>
      <c r="AL119" s="560">
        <v>150</v>
      </c>
      <c r="AM119" s="739">
        <v>0</v>
      </c>
      <c r="AN119" s="967">
        <f>Таблица_оружие[[#This Row],[FH]]*(1+Примерочная!$U$7*VLOOKUP(Примерочная!$V$2,Таблица_моды_оружие[],11,0))-Таблица_оружие[[#This Row],[FH]]</f>
        <v>0</v>
      </c>
      <c r="AO119" s="968">
        <f>Таблица_оружие[[#This Row],[CH]]*(1+Примерочная!$U$7*VLOOKUP(Примерочная!$V$2,Таблица_моды_оружие[],11,0))-Таблица_оружие[[#This Row],[CH]]</f>
        <v>0</v>
      </c>
      <c r="AP119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20" spans="1:42" ht="33" customHeight="1" x14ac:dyDescent="0.25">
      <c r="A120" s="653" t="s">
        <v>304</v>
      </c>
      <c r="B120" s="722"/>
      <c r="C120" s="639">
        <v>49.5</v>
      </c>
      <c r="D120" s="639">
        <v>55</v>
      </c>
      <c r="E120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20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20" s="655">
        <f>SUM(Таблица_оружие[[#This Row],[урон макс.]]+Таблица_оружие[[#This Row],[урон мин.]])/2</f>
        <v>52.25</v>
      </c>
      <c r="H120" s="656">
        <f>SUM(Таблица_оружие[[#This Row],[урон макс.]]-Таблица_оружие[[#This Row],[урон мин.]])</f>
        <v>5.5</v>
      </c>
      <c r="I120" s="640">
        <v>13</v>
      </c>
      <c r="J120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20" s="727">
        <f>Таблица_оружие[[#This Row],[урон макс.]]*Таблица_оружие[[#This Row],[крит множ]]</f>
        <v>82.5</v>
      </c>
      <c r="L120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20" s="640">
        <v>65</v>
      </c>
      <c r="N120" s="657">
        <v>95</v>
      </c>
      <c r="O120" s="657"/>
      <c r="P120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20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20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20" s="640">
        <v>6</v>
      </c>
      <c r="T120" s="657">
        <v>8</v>
      </c>
      <c r="U120" s="657"/>
      <c r="V120" s="657">
        <v>15</v>
      </c>
      <c r="W120" s="657">
        <v>19</v>
      </c>
      <c r="X120" s="657"/>
      <c r="Y120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20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20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20" s="653">
        <v>7</v>
      </c>
      <c r="AC120" s="725">
        <f>(Примерочная!$U$7*VLOOKUP(Таблица_оружие[[#This Row],[название]],Таблица_моды_оружие[],11,0))</f>
        <v>0</v>
      </c>
      <c r="AD120" s="657"/>
      <c r="AE120" s="657"/>
      <c r="AF120" s="657"/>
      <c r="AG120" s="654">
        <v>25</v>
      </c>
      <c r="AH120" s="659">
        <v>1.5</v>
      </c>
      <c r="AI120" s="922">
        <f>Таблица_оружие[[#This Row],[крит множ]]+(Таблица_оружие[[#This Row],[крит множ]]*(Примерочная!$S$7*VLOOKUP(Примерочная!$V$2,Таблица_моды_оружие[],6,0)))</f>
        <v>1.5</v>
      </c>
      <c r="AJ120" s="931">
        <v>0.6</v>
      </c>
      <c r="AK120" s="360">
        <v>150</v>
      </c>
      <c r="AL120" s="360">
        <v>150</v>
      </c>
      <c r="AM120" s="559">
        <v>0</v>
      </c>
      <c r="AN120" s="967">
        <f>Таблица_оружие[[#This Row],[FH]]*(1+Примерочная!$U$7*VLOOKUP(Примерочная!$V$2,Таблица_моды_оружие[],11,0))-Таблица_оружие[[#This Row],[FH]]</f>
        <v>0</v>
      </c>
      <c r="AO120" s="968">
        <f>Таблица_оружие[[#This Row],[CH]]*(1+Примерочная!$U$7*VLOOKUP(Примерочная!$V$2,Таблица_моды_оружие[],11,0))-Таблица_оружие[[#This Row],[CH]]</f>
        <v>0</v>
      </c>
      <c r="AP120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21" spans="1:42" ht="33" customHeight="1" x14ac:dyDescent="0.25">
      <c r="A121" s="653" t="s">
        <v>237</v>
      </c>
      <c r="B121" s="722"/>
      <c r="C121" s="639">
        <v>44.3</v>
      </c>
      <c r="D121" s="639">
        <v>50</v>
      </c>
      <c r="E121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21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21" s="655">
        <f>SUM(Таблица_оружие[[#This Row],[урон макс.]]+Таблица_оружие[[#This Row],[урон мин.]])/2</f>
        <v>47.15</v>
      </c>
      <c r="H121" s="656">
        <f>SUM(Таблица_оружие[[#This Row],[урон макс.]]-Таблица_оружие[[#This Row],[урон мин.]])</f>
        <v>5.7000000000000028</v>
      </c>
      <c r="I121" s="640">
        <v>10</v>
      </c>
      <c r="J121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21" s="727">
        <f>Таблица_оружие[[#This Row],[урон макс.]]*Таблица_оружие[[#This Row],[крит множ]]</f>
        <v>65</v>
      </c>
      <c r="L121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21" s="640">
        <v>75</v>
      </c>
      <c r="N121" s="657">
        <v>90</v>
      </c>
      <c r="O121" s="657"/>
      <c r="P121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21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21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21" s="640">
        <f>2+(2*(Примерочная!$Q$7*0.05))</f>
        <v>2</v>
      </c>
      <c r="T121" s="657">
        <v>6</v>
      </c>
      <c r="U121" s="657"/>
      <c r="V121" s="657">
        <v>9</v>
      </c>
      <c r="W121" s="657">
        <v>16</v>
      </c>
      <c r="X121" s="657"/>
      <c r="Y121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21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21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21" s="653">
        <v>7</v>
      </c>
      <c r="AC121" s="725">
        <f>(Примерочная!$U$7*VLOOKUP(Таблица_оружие[[#This Row],[название]],Таблица_моды_оружие[],11,0))</f>
        <v>0</v>
      </c>
      <c r="AD121" s="657"/>
      <c r="AE121" s="657"/>
      <c r="AF121" s="657"/>
      <c r="AG121" s="654">
        <v>25</v>
      </c>
      <c r="AH121" s="659">
        <v>1.3</v>
      </c>
      <c r="AI121" s="922">
        <f>Таблица_оружие[[#This Row],[крит множ]]+(Таблица_оружие[[#This Row],[крит множ]]*(Примерочная!$S$7*VLOOKUP(Примерочная!$V$2,Таблица_моды_оружие[],6,0)))</f>
        <v>1.3</v>
      </c>
      <c r="AJ121" s="930">
        <v>0.6</v>
      </c>
      <c r="AK121" s="560">
        <v>150</v>
      </c>
      <c r="AL121" s="560">
        <v>150</v>
      </c>
      <c r="AM121" s="739">
        <v>0</v>
      </c>
      <c r="AN121" s="967">
        <f>Таблица_оружие[[#This Row],[FH]]*(1+Примерочная!$U$7*VLOOKUP(Примерочная!$V$2,Таблица_моды_оружие[],11,0))-Таблица_оружие[[#This Row],[FH]]</f>
        <v>0</v>
      </c>
      <c r="AO121" s="968">
        <f>Таблица_оружие[[#This Row],[CH]]*(1+Примерочная!$U$7*VLOOKUP(Примерочная!$V$2,Таблица_моды_оружие[],11,0))-Таблица_оружие[[#This Row],[CH]]</f>
        <v>0</v>
      </c>
      <c r="AP121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22" spans="1:42" ht="33" customHeight="1" x14ac:dyDescent="0.25">
      <c r="A122" s="741" t="s">
        <v>303</v>
      </c>
      <c r="B122" s="722"/>
      <c r="C122" s="639">
        <v>55</v>
      </c>
      <c r="D122" s="639">
        <v>60</v>
      </c>
      <c r="E122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22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22" s="655">
        <f>SUM(Таблица_оружие[[#This Row],[урон макс.]]+Таблица_оружие[[#This Row],[урон мин.]])/2</f>
        <v>57.5</v>
      </c>
      <c r="H122" s="656">
        <f>SUM(Таблица_оружие[[#This Row],[урон макс.]]-Таблица_оружие[[#This Row],[урон мин.]])</f>
        <v>5</v>
      </c>
      <c r="I122" s="640">
        <v>13</v>
      </c>
      <c r="J122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22" s="727">
        <f>Таблица_оружие[[#This Row],[урон макс.]]*Таблица_оружие[[#This Row],[крит множ]]</f>
        <v>90</v>
      </c>
      <c r="L122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22" s="640">
        <v>65</v>
      </c>
      <c r="N122" s="657">
        <v>95</v>
      </c>
      <c r="O122" s="657"/>
      <c r="P122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22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22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22" s="640">
        <v>6</v>
      </c>
      <c r="T122" s="657">
        <v>8</v>
      </c>
      <c r="U122" s="657"/>
      <c r="V122" s="657">
        <v>15</v>
      </c>
      <c r="W122" s="657">
        <v>19</v>
      </c>
      <c r="X122" s="657"/>
      <c r="Y122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22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22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22" s="653">
        <v>7</v>
      </c>
      <c r="AC122" s="725">
        <f>(Примерочная!$U$7*VLOOKUP(Таблица_оружие[[#This Row],[название]],Таблица_моды_оружие[],11,0))</f>
        <v>0</v>
      </c>
      <c r="AD122" s="657"/>
      <c r="AE122" s="657"/>
      <c r="AF122" s="657"/>
      <c r="AG122" s="654">
        <v>29</v>
      </c>
      <c r="AH122" s="659">
        <v>1.5</v>
      </c>
      <c r="AI122" s="922">
        <f>Таблица_оружие[[#This Row],[крит множ]]+(Таблица_оружие[[#This Row],[крит множ]]*(Примерочная!$S$7*VLOOKUP(Примерочная!$V$2,Таблица_моды_оружие[],6,0)))</f>
        <v>1.5</v>
      </c>
      <c r="AJ122" s="931">
        <v>0.6</v>
      </c>
      <c r="AK122" s="360">
        <v>150</v>
      </c>
      <c r="AL122" s="360">
        <v>150</v>
      </c>
      <c r="AM122" s="559">
        <v>0</v>
      </c>
      <c r="AN122" s="967">
        <f>Таблица_оружие[[#This Row],[FH]]*(1+Примерочная!$U$7*VLOOKUP(Примерочная!$V$2,Таблица_моды_оружие[],11,0))-Таблица_оружие[[#This Row],[FH]]</f>
        <v>0</v>
      </c>
      <c r="AO122" s="968">
        <f>Таблица_оружие[[#This Row],[CH]]*(1+Примерочная!$U$7*VLOOKUP(Примерочная!$V$2,Таблица_моды_оружие[],11,0))-Таблица_оружие[[#This Row],[CH]]</f>
        <v>0</v>
      </c>
      <c r="AP122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23" spans="1:42" ht="33" customHeight="1" x14ac:dyDescent="0.25">
      <c r="A123" s="653" t="s">
        <v>302</v>
      </c>
      <c r="B123" s="722"/>
      <c r="C123" s="639">
        <v>50</v>
      </c>
      <c r="D123" s="639">
        <v>55</v>
      </c>
      <c r="E123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23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23" s="655">
        <f>SUM(Таблица_оружие[[#This Row],[урон макс.]]+Таблица_оружие[[#This Row],[урон мин.]])/2</f>
        <v>52.5</v>
      </c>
      <c r="H123" s="656">
        <f>SUM(Таблица_оружие[[#This Row],[урон макс.]]-Таблица_оружие[[#This Row],[урон мин.]])</f>
        <v>5</v>
      </c>
      <c r="I123" s="640">
        <v>10</v>
      </c>
      <c r="J123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23" s="727">
        <f>Таблица_оружие[[#This Row],[урон макс.]]*Таблица_оружие[[#This Row],[крит множ]]</f>
        <v>71.5</v>
      </c>
      <c r="L123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23" s="640">
        <v>75</v>
      </c>
      <c r="N123" s="657">
        <v>90</v>
      </c>
      <c r="O123" s="657"/>
      <c r="P123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23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23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23" s="640">
        <f>2+(2*(Примерочная!$Q$7*0.05))</f>
        <v>2</v>
      </c>
      <c r="T123" s="657">
        <v>6</v>
      </c>
      <c r="U123" s="657"/>
      <c r="V123" s="657">
        <v>9</v>
      </c>
      <c r="W123" s="657">
        <v>16</v>
      </c>
      <c r="X123" s="657"/>
      <c r="Y123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23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23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23" s="653">
        <v>7</v>
      </c>
      <c r="AC123" s="725">
        <f>(Примерочная!$U$7*VLOOKUP(Таблица_оружие[[#This Row],[название]],Таблица_моды_оружие[],11,0))</f>
        <v>0</v>
      </c>
      <c r="AD123" s="657"/>
      <c r="AE123" s="657"/>
      <c r="AF123" s="657"/>
      <c r="AG123" s="654">
        <v>29</v>
      </c>
      <c r="AH123" s="659">
        <v>1.3</v>
      </c>
      <c r="AI123" s="922">
        <f>Таблица_оружие[[#This Row],[крит множ]]+(Таблица_оружие[[#This Row],[крит множ]]*(Примерочная!$S$7*VLOOKUP(Примерочная!$V$2,Таблица_моды_оружие[],6,0)))</f>
        <v>1.3</v>
      </c>
      <c r="AJ123" s="930">
        <v>0.6</v>
      </c>
      <c r="AK123" s="560">
        <v>150</v>
      </c>
      <c r="AL123" s="560">
        <v>150</v>
      </c>
      <c r="AM123" s="739">
        <v>0</v>
      </c>
      <c r="AN123" s="967">
        <f>Таблица_оружие[[#This Row],[FH]]*(1+Примерочная!$U$7*VLOOKUP(Примерочная!$V$2,Таблица_моды_оружие[],11,0))-Таблица_оружие[[#This Row],[FH]]</f>
        <v>0</v>
      </c>
      <c r="AO123" s="968">
        <f>Таблица_оружие[[#This Row],[CH]]*(1+Примерочная!$U$7*VLOOKUP(Примерочная!$V$2,Таблица_моды_оружие[],11,0))-Таблица_оружие[[#This Row],[CH]]</f>
        <v>0</v>
      </c>
      <c r="AP123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24" spans="1:42" ht="33" customHeight="1" x14ac:dyDescent="0.25">
      <c r="A124" s="653" t="s">
        <v>238</v>
      </c>
      <c r="B124" s="722"/>
      <c r="C124" s="639">
        <v>61</v>
      </c>
      <c r="D124" s="639">
        <v>67</v>
      </c>
      <c r="E124" s="61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24" s="612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24" s="655">
        <f>SUM(Таблица_оружие[[#This Row],[урон макс.]]+Таблица_оружие[[#This Row],[урон мин.]])/2</f>
        <v>64</v>
      </c>
      <c r="H124" s="656">
        <f>SUM(Таблица_оружие[[#This Row],[урон макс.]]-Таблица_оружие[[#This Row],[урон мин.]])</f>
        <v>6</v>
      </c>
      <c r="I124" s="640">
        <v>13</v>
      </c>
      <c r="J124" s="612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24" s="727">
        <f>Таблица_оружие[[#This Row],[урон макс.]]*Таблица_оружие[[#This Row],[крит множ]]</f>
        <v>100.5</v>
      </c>
      <c r="L124" s="601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24" s="640">
        <v>65</v>
      </c>
      <c r="N124" s="657">
        <v>95</v>
      </c>
      <c r="O124" s="657"/>
      <c r="P124" s="602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24" s="602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24" s="601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24" s="640">
        <v>6</v>
      </c>
      <c r="T124" s="657">
        <v>8</v>
      </c>
      <c r="U124" s="657"/>
      <c r="V124" s="657">
        <v>15</v>
      </c>
      <c r="W124" s="657">
        <v>19</v>
      </c>
      <c r="X124" s="657"/>
      <c r="Y124" s="61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24" s="61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24" s="612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24" s="653">
        <v>7</v>
      </c>
      <c r="AC124" s="725">
        <f>(Примерочная!$U$7*VLOOKUP(Таблица_оружие[[#This Row],[название]],Таблица_моды_оружие[],11,0))</f>
        <v>0</v>
      </c>
      <c r="AD124" s="657"/>
      <c r="AE124" s="657"/>
      <c r="AF124" s="657"/>
      <c r="AG124" s="654">
        <v>35</v>
      </c>
      <c r="AH124" s="659">
        <v>1.5</v>
      </c>
      <c r="AI124" s="922">
        <f>Таблица_оружие[[#This Row],[крит множ]]+(Таблица_оружие[[#This Row],[крит множ]]*(Примерочная!$S$7*VLOOKUP(Примерочная!$V$2,Таблица_моды_оружие[],6,0)))</f>
        <v>1.5</v>
      </c>
      <c r="AJ124" s="931">
        <v>0.6</v>
      </c>
      <c r="AK124" s="360">
        <v>150</v>
      </c>
      <c r="AL124" s="360">
        <v>150</v>
      </c>
      <c r="AM124" s="559">
        <v>0</v>
      </c>
      <c r="AN124" s="967">
        <f>Таблица_оружие[[#This Row],[FH]]*(1+Примерочная!$U$7*VLOOKUP(Примерочная!$V$2,Таблица_моды_оружие[],11,0))-Таблица_оружие[[#This Row],[FH]]</f>
        <v>0</v>
      </c>
      <c r="AO124" s="968">
        <f>Таблица_оружие[[#This Row],[CH]]*(1+Примерочная!$U$7*VLOOKUP(Примерочная!$V$2,Таблица_моды_оружие[],11,0))-Таблица_оружие[[#This Row],[CH]]</f>
        <v>0</v>
      </c>
      <c r="AP124" s="606">
        <f>Таблица_оружие[[#This Row],[EM]]*(1+Примерочная!$U$7*VLOOKUP(Примерочная!$V$2,Таблица_моды_оружие[],11,0))-Таблица_оружие[[#This Row],[EM]]</f>
        <v>0</v>
      </c>
    </row>
    <row r="125" spans="1:42" ht="33" customHeight="1" thickBot="1" x14ac:dyDescent="0.3">
      <c r="A125" s="741" t="s">
        <v>239</v>
      </c>
      <c r="B125" s="744"/>
      <c r="C125" s="745">
        <v>56</v>
      </c>
      <c r="D125" s="745">
        <v>61</v>
      </c>
      <c r="E125" s="746">
        <f>Таблица_оружие[[#This Row],[урон мин.]]*(Примерочная!$P$7*VLOOKUP(Таблица_оружие[[#This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F125" s="747">
        <f>Таблица_оружие[[#This Row],[урон макс.]]*(Примерочная!$P$7*VLOOKUP(Таблица_оружие[[#This Row],[название]],Таблица_моды_оружие[],2,0)+Примерочная!$S$7*VLOOKUP(Таблица_оружие[[#This Row],[название]],Таблица_моды_оружие[],3,0))</f>
        <v>0</v>
      </c>
      <c r="G125" s="748">
        <f>SUM(Таблица_оружие[[#This Row],[урон макс.]]+Таблица_оружие[[#This Row],[урон мин.]])/2</f>
        <v>58.5</v>
      </c>
      <c r="H125" s="749">
        <f>SUM(Таблица_оружие[[#This Row],[урон макс.]]-Таблица_оружие[[#This Row],[урон мин.]])</f>
        <v>5</v>
      </c>
      <c r="I125" s="734">
        <v>10</v>
      </c>
      <c r="J125" s="747">
        <f>Таблица_оружие[[#This Row],[крит поп.]]*(Примерочная!$R$7*VLOOKUP(Таблица_оружие[[#This Row],[название]],Таблица_моды_оружие[],4,0)+Примерочная!$Q$7*VLOOKUP(Таблица_оружие[[#This Row],[название]],Таблица_моды_оружие[],5,0))</f>
        <v>0</v>
      </c>
      <c r="K125" s="750">
        <f>Таблица_оружие[[#This Row],[урон макс.]]*Таблица_оружие[[#This Row],[крит множ]]</f>
        <v>79.3</v>
      </c>
      <c r="L125" s="747">
        <f>(Таблица_оружие[[#This Row],[урон макс.]]+Таблица_оружие[[#This Row],[бонус мод2]])*Таблица_оружие[[#This Row],[бонус мод11]]-Таблица_оружие[[#This Row],[кр.урон]]</f>
        <v>0</v>
      </c>
      <c r="M125" s="734">
        <v>75</v>
      </c>
      <c r="N125" s="703">
        <v>90</v>
      </c>
      <c r="O125" s="703"/>
      <c r="P125" s="751">
        <f>Таблица_оружие[[#This Row],[точность1]]*(Примерочная!$T$7*VLOOKUP(Таблица_оружие[[#This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Q125" s="751">
        <f>Таблица_оружие[[#This Row],[точность2]]*(Примерочная!$T$7*VLOOKUP(Таблица_оружие[[#This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R125" s="752">
        <f>Таблица_оружие[[#This Row],[точность3]]*(Примерочная!$T$7*VLOOKUP(Таблица_оружие[[#This Row],[название]],Таблица_моды_оружие[],7,0)+Примерочная!$R$7*VLOOKUP(Таблица_оружие[[#This Row],[название]],Таблица_моды_оружие[],8,0))</f>
        <v>0</v>
      </c>
      <c r="S125" s="734">
        <v>2</v>
      </c>
      <c r="T125" s="703">
        <v>6</v>
      </c>
      <c r="U125" s="703"/>
      <c r="V125" s="703">
        <v>9</v>
      </c>
      <c r="W125" s="703">
        <v>16</v>
      </c>
      <c r="X125" s="703"/>
      <c r="Y125" s="746">
        <f>Таблица_оружие[[#This Row],[дальн.макс1]]*(Примерочная!$Q$7*VLOOKUP(Таблица_оружие[[#This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Z125" s="746">
        <f>Таблица_оружие[[#This Row],[дальн.макс2]]*(Примерочная!$Q$7*VLOOKUP(Таблица_оружие[[#This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A125" s="747">
        <f>Таблица_оружие[[#This Row],[дальн.макс3]]*(Примерочная!$Q$7*VLOOKUP(Таблица_оружие[[#This Row],[название]],Таблица_моды_оружие[],9,0)+Примерочная!$T$7*VLOOKUP(Таблица_оружие[[#This Row],[название]],Таблица_моды_оружие[],10,0))</f>
        <v>0</v>
      </c>
      <c r="AB125" s="741">
        <v>7</v>
      </c>
      <c r="AC125" s="753">
        <f>(Примерочная!$U$7*VLOOKUP(Таблица_оружие[[#This Row],[название]],Таблица_моды_оружие[],11,0))</f>
        <v>0</v>
      </c>
      <c r="AD125" s="703"/>
      <c r="AE125" s="703"/>
      <c r="AF125" s="703"/>
      <c r="AG125" s="754">
        <v>35</v>
      </c>
      <c r="AH125" s="755">
        <v>1.3</v>
      </c>
      <c r="AI125" s="925">
        <f>Таблица_оружие[[#This Row],[крит множ]]+(Таблица_оружие[[#This Row],[крит множ]]*(Примерочная!$S$7*VLOOKUP(Примерочная!$V$2,Таблица_моды_оружие[],6,0)))</f>
        <v>1.3</v>
      </c>
      <c r="AJ125" s="933">
        <v>0.6</v>
      </c>
      <c r="AK125" s="934">
        <v>150</v>
      </c>
      <c r="AL125" s="934">
        <v>150</v>
      </c>
      <c r="AM125" s="935">
        <v>0</v>
      </c>
      <c r="AN125" s="969">
        <f>Таблица_оружие[[#This Row],[FH]]*(1+Примерочная!$U$7*VLOOKUP(Примерочная!$V$2,Таблица_моды_оружие[],11,0))-Таблица_оружие[[#This Row],[FH]]</f>
        <v>0</v>
      </c>
      <c r="AO125" s="970">
        <f>Таблица_оружие[[#This Row],[CH]]*(1+Примерочная!$U$7*VLOOKUP(Примерочная!$V$2,Таблица_моды_оружие[],11,0))-Таблица_оружие[[#This Row],[CH]]</f>
        <v>0</v>
      </c>
      <c r="AP125" s="971">
        <f>Таблица_оружие[[#This Row],[EM]]*(1+Примерочная!$U$7*VLOOKUP(Примерочная!$V$2,Таблица_моды_оружие[],11,0))-Таблица_оружие[[#This Row],[EM]]</f>
        <v>0</v>
      </c>
    </row>
    <row r="126" spans="1:42" ht="33" customHeight="1" x14ac:dyDescent="0.25">
      <c r="E126" s="648"/>
      <c r="F126" s="648"/>
      <c r="J126" s="648"/>
      <c r="L126" s="648"/>
      <c r="P126" s="648"/>
      <c r="Q126" s="648"/>
      <c r="R126" s="648"/>
      <c r="Y126" s="648"/>
      <c r="Z126" s="648"/>
      <c r="AA126" s="648"/>
      <c r="AI126" s="648"/>
    </row>
    <row r="127" spans="1:42" s="43" customFormat="1" ht="33" customHeight="1" x14ac:dyDescent="0.25">
      <c r="A127" s="769" t="s">
        <v>324</v>
      </c>
      <c r="B127" s="770" t="s">
        <v>613</v>
      </c>
      <c r="C127" s="770" t="s">
        <v>638</v>
      </c>
      <c r="D127" s="771" t="s">
        <v>639</v>
      </c>
      <c r="E127" s="771" t="s">
        <v>640</v>
      </c>
      <c r="F127" s="770" t="s">
        <v>425</v>
      </c>
      <c r="G127" s="770" t="s">
        <v>641</v>
      </c>
      <c r="H127" s="770" t="s">
        <v>642</v>
      </c>
      <c r="I127" s="770" t="s">
        <v>643</v>
      </c>
      <c r="J127" s="770" t="s">
        <v>644</v>
      </c>
      <c r="K127" s="772" t="s">
        <v>4</v>
      </c>
      <c r="L127" s="771" t="s">
        <v>649</v>
      </c>
      <c r="M127" s="770" t="s">
        <v>684</v>
      </c>
    </row>
    <row r="128" spans="1:42" s="43" customFormat="1" ht="33" customHeight="1" x14ac:dyDescent="0.25">
      <c r="A128" s="699" t="s">
        <v>636</v>
      </c>
      <c r="B128" s="793"/>
      <c r="C128" s="93">
        <v>0</v>
      </c>
      <c r="D128" s="795">
        <v>0</v>
      </c>
      <c r="E128" s="795">
        <v>0</v>
      </c>
      <c r="F128" s="795">
        <v>0</v>
      </c>
      <c r="G128" s="795">
        <v>0</v>
      </c>
      <c r="H128" s="795">
        <v>0</v>
      </c>
      <c r="I128" s="93">
        <v>0</v>
      </c>
      <c r="J128" s="93">
        <v>0</v>
      </c>
      <c r="K128" s="93">
        <v>0</v>
      </c>
      <c r="L128" s="43">
        <v>0</v>
      </c>
      <c r="M128" s="43">
        <v>0</v>
      </c>
    </row>
    <row r="129" spans="1:35" s="43" customFormat="1" ht="33" customHeight="1" x14ac:dyDescent="0.25">
      <c r="A129" s="699"/>
      <c r="B129" s="93"/>
      <c r="C129" s="93"/>
      <c r="D129" s="795"/>
      <c r="E129" s="795"/>
      <c r="F129" s="795"/>
      <c r="G129" s="795"/>
      <c r="H129" s="795"/>
      <c r="I129" s="93"/>
      <c r="J129" s="93"/>
      <c r="K129" s="93"/>
    </row>
    <row r="130" spans="1:35" s="43" customFormat="1" ht="33" customHeight="1" x14ac:dyDescent="0.25">
      <c r="A130" s="699" t="s">
        <v>616</v>
      </c>
      <c r="B130" s="793"/>
      <c r="C130" s="93">
        <v>9</v>
      </c>
      <c r="D130" s="795">
        <v>4</v>
      </c>
      <c r="E130" s="795">
        <v>10</v>
      </c>
      <c r="F130" s="795">
        <v>3</v>
      </c>
      <c r="G130" s="795">
        <v>21.1</v>
      </c>
      <c r="H130" s="795">
        <v>23.1</v>
      </c>
      <c r="I130" s="93">
        <v>250</v>
      </c>
      <c r="J130" s="93">
        <v>200</v>
      </c>
      <c r="K130" s="93">
        <v>200</v>
      </c>
      <c r="L130" s="766">
        <v>1</v>
      </c>
      <c r="M130" s="43">
        <v>6</v>
      </c>
    </row>
    <row r="131" spans="1:35" s="43" customFormat="1" ht="33" customHeight="1" x14ac:dyDescent="0.25">
      <c r="A131" s="699" t="s">
        <v>617</v>
      </c>
      <c r="B131" s="793"/>
      <c r="C131" s="93">
        <v>9</v>
      </c>
      <c r="D131" s="795">
        <v>4</v>
      </c>
      <c r="E131" s="795">
        <v>10</v>
      </c>
      <c r="F131" s="795">
        <v>3</v>
      </c>
      <c r="G131" s="795">
        <v>23.1</v>
      </c>
      <c r="H131" s="795">
        <v>27.1</v>
      </c>
      <c r="I131" s="93">
        <v>255</v>
      </c>
      <c r="J131" s="93">
        <f>J130+5</f>
        <v>205</v>
      </c>
      <c r="K131" s="93">
        <f>K130+5</f>
        <v>205</v>
      </c>
      <c r="L131" s="766">
        <v>4</v>
      </c>
      <c r="M131" s="43">
        <v>6</v>
      </c>
    </row>
    <row r="132" spans="1:35" s="43" customFormat="1" ht="33" customHeight="1" x14ac:dyDescent="0.25">
      <c r="A132" s="699" t="s">
        <v>618</v>
      </c>
      <c r="B132" s="793"/>
      <c r="C132" s="93">
        <v>10</v>
      </c>
      <c r="D132" s="795">
        <v>4</v>
      </c>
      <c r="E132" s="795">
        <v>10</v>
      </c>
      <c r="F132" s="795">
        <v>3</v>
      </c>
      <c r="G132" s="795">
        <v>27.1</v>
      </c>
      <c r="H132" s="795">
        <v>30.2</v>
      </c>
      <c r="I132" s="93">
        <v>260</v>
      </c>
      <c r="J132" s="93">
        <f t="shared" ref="J132:J139" si="0">J131+5</f>
        <v>210</v>
      </c>
      <c r="K132" s="93">
        <f t="shared" ref="K132:K139" si="1">K131+5</f>
        <v>210</v>
      </c>
      <c r="L132" s="766">
        <v>7</v>
      </c>
      <c r="M132" s="43">
        <v>6</v>
      </c>
    </row>
    <row r="133" spans="1:35" s="43" customFormat="1" ht="33" customHeight="1" x14ac:dyDescent="0.25">
      <c r="A133" s="699" t="s">
        <v>619</v>
      </c>
      <c r="B133" s="793"/>
      <c r="C133" s="93">
        <v>10</v>
      </c>
      <c r="D133" s="795">
        <v>4</v>
      </c>
      <c r="E133" s="795">
        <v>10</v>
      </c>
      <c r="F133" s="795">
        <v>3</v>
      </c>
      <c r="G133" s="795">
        <v>31.2</v>
      </c>
      <c r="H133" s="795">
        <v>35.200000000000003</v>
      </c>
      <c r="I133" s="93">
        <v>265</v>
      </c>
      <c r="J133" s="93">
        <f t="shared" si="0"/>
        <v>215</v>
      </c>
      <c r="K133" s="93">
        <f t="shared" si="1"/>
        <v>215</v>
      </c>
      <c r="L133" s="766">
        <v>10</v>
      </c>
      <c r="M133" s="43">
        <v>6</v>
      </c>
    </row>
    <row r="134" spans="1:35" s="43" customFormat="1" ht="33" customHeight="1" x14ac:dyDescent="0.25">
      <c r="A134" s="699" t="s">
        <v>620</v>
      </c>
      <c r="B134" s="793"/>
      <c r="C134" s="93">
        <v>11</v>
      </c>
      <c r="D134" s="795">
        <v>4</v>
      </c>
      <c r="E134" s="795">
        <v>10</v>
      </c>
      <c r="F134" s="795">
        <v>3</v>
      </c>
      <c r="G134" s="795">
        <v>36.200000000000003</v>
      </c>
      <c r="H134" s="795">
        <v>40.200000000000003</v>
      </c>
      <c r="I134" s="93">
        <v>270</v>
      </c>
      <c r="J134" s="93">
        <f t="shared" si="0"/>
        <v>220</v>
      </c>
      <c r="K134" s="93">
        <f t="shared" si="1"/>
        <v>220</v>
      </c>
      <c r="L134" s="766">
        <v>13</v>
      </c>
      <c r="M134" s="43">
        <v>6</v>
      </c>
    </row>
    <row r="135" spans="1:35" s="43" customFormat="1" ht="33" customHeight="1" x14ac:dyDescent="0.25">
      <c r="A135" s="699" t="s">
        <v>621</v>
      </c>
      <c r="B135" s="793"/>
      <c r="C135" s="93">
        <v>11</v>
      </c>
      <c r="D135" s="795">
        <v>4</v>
      </c>
      <c r="E135" s="795">
        <v>10</v>
      </c>
      <c r="F135" s="795">
        <v>3</v>
      </c>
      <c r="G135" s="795">
        <v>39.200000000000003</v>
      </c>
      <c r="H135" s="795">
        <v>43.2</v>
      </c>
      <c r="I135" s="93">
        <v>275</v>
      </c>
      <c r="J135" s="93">
        <f t="shared" si="0"/>
        <v>225</v>
      </c>
      <c r="K135" s="93">
        <f t="shared" si="1"/>
        <v>225</v>
      </c>
      <c r="L135" s="766">
        <v>16</v>
      </c>
      <c r="M135" s="43">
        <v>6</v>
      </c>
    </row>
    <row r="136" spans="1:35" s="43" customFormat="1" ht="33" customHeight="1" x14ac:dyDescent="0.25">
      <c r="A136" s="699" t="s">
        <v>622</v>
      </c>
      <c r="B136" s="793"/>
      <c r="C136" s="93">
        <v>12</v>
      </c>
      <c r="D136" s="795">
        <v>4</v>
      </c>
      <c r="E136" s="795">
        <v>10</v>
      </c>
      <c r="F136" s="795">
        <v>3</v>
      </c>
      <c r="G136" s="795">
        <v>45.2</v>
      </c>
      <c r="H136" s="795">
        <v>48.2</v>
      </c>
      <c r="I136" s="93">
        <v>280</v>
      </c>
      <c r="J136" s="93">
        <f t="shared" si="0"/>
        <v>230</v>
      </c>
      <c r="K136" s="93">
        <f t="shared" si="1"/>
        <v>230</v>
      </c>
      <c r="L136" s="766">
        <v>19</v>
      </c>
      <c r="M136" s="43">
        <v>6</v>
      </c>
    </row>
    <row r="137" spans="1:35" s="43" customFormat="1" ht="33" customHeight="1" x14ac:dyDescent="0.25">
      <c r="A137" s="699" t="s">
        <v>623</v>
      </c>
      <c r="B137" s="793"/>
      <c r="C137" s="93">
        <v>12</v>
      </c>
      <c r="D137" s="795">
        <v>4</v>
      </c>
      <c r="E137" s="795">
        <v>10</v>
      </c>
      <c r="F137" s="795">
        <v>3</v>
      </c>
      <c r="G137" s="795">
        <v>49.2</v>
      </c>
      <c r="H137" s="795">
        <v>52.3</v>
      </c>
      <c r="I137" s="93">
        <v>285</v>
      </c>
      <c r="J137" s="93">
        <f t="shared" si="0"/>
        <v>235</v>
      </c>
      <c r="K137" s="93">
        <f t="shared" si="1"/>
        <v>235</v>
      </c>
      <c r="L137" s="766">
        <v>22</v>
      </c>
      <c r="M137" s="43">
        <v>6</v>
      </c>
    </row>
    <row r="138" spans="1:35" s="43" customFormat="1" ht="33" customHeight="1" x14ac:dyDescent="0.25">
      <c r="A138" s="699" t="s">
        <v>624</v>
      </c>
      <c r="B138" s="793"/>
      <c r="C138" s="93">
        <v>12</v>
      </c>
      <c r="D138" s="795">
        <v>4</v>
      </c>
      <c r="E138" s="795">
        <v>10</v>
      </c>
      <c r="F138" s="795">
        <v>3</v>
      </c>
      <c r="G138" s="795">
        <v>53.3</v>
      </c>
      <c r="H138" s="795">
        <v>56.3</v>
      </c>
      <c r="I138" s="93">
        <v>290</v>
      </c>
      <c r="J138" s="93">
        <f t="shared" si="0"/>
        <v>240</v>
      </c>
      <c r="K138" s="93">
        <f t="shared" si="1"/>
        <v>240</v>
      </c>
      <c r="L138" s="766">
        <v>26</v>
      </c>
      <c r="M138" s="43">
        <v>6</v>
      </c>
    </row>
    <row r="139" spans="1:35" s="43" customFormat="1" ht="33" customHeight="1" x14ac:dyDescent="0.25">
      <c r="A139" s="767" t="s">
        <v>625</v>
      </c>
      <c r="B139" s="794"/>
      <c r="C139" s="768">
        <v>12</v>
      </c>
      <c r="D139" s="796">
        <v>4</v>
      </c>
      <c r="E139" s="796">
        <v>10</v>
      </c>
      <c r="F139" s="796">
        <v>3</v>
      </c>
      <c r="G139" s="796">
        <v>57.3</v>
      </c>
      <c r="H139" s="796">
        <v>60.3</v>
      </c>
      <c r="I139" s="768">
        <v>295</v>
      </c>
      <c r="J139" s="93">
        <f t="shared" si="0"/>
        <v>245</v>
      </c>
      <c r="K139" s="93">
        <f t="shared" si="1"/>
        <v>245</v>
      </c>
      <c r="L139" s="766">
        <v>30</v>
      </c>
      <c r="M139" s="43">
        <v>6</v>
      </c>
    </row>
    <row r="140" spans="1:35" s="43" customFormat="1" ht="33" customHeight="1" x14ac:dyDescent="0.25">
      <c r="E140" s="766"/>
      <c r="F140" s="766"/>
      <c r="I140" s="766"/>
      <c r="J140" s="766"/>
      <c r="L140" s="766"/>
      <c r="P140" s="766"/>
      <c r="Q140" s="766"/>
      <c r="R140" s="766"/>
      <c r="Y140" s="766"/>
      <c r="Z140" s="766"/>
      <c r="AA140" s="766"/>
      <c r="AI140" s="766"/>
    </row>
    <row r="141" spans="1:35" s="801" customFormat="1" ht="33" customHeight="1" x14ac:dyDescent="0.25">
      <c r="A141" s="803" t="s">
        <v>324</v>
      </c>
      <c r="B141" s="771" t="s">
        <v>613</v>
      </c>
      <c r="C141" s="771" t="s">
        <v>525</v>
      </c>
      <c r="D141" s="771" t="s">
        <v>645</v>
      </c>
      <c r="E141" s="804" t="s">
        <v>646</v>
      </c>
      <c r="F141" s="804" t="s">
        <v>641</v>
      </c>
      <c r="G141" s="771" t="s">
        <v>647</v>
      </c>
      <c r="H141" s="771" t="s">
        <v>643</v>
      </c>
      <c r="I141" s="804" t="s">
        <v>648</v>
      </c>
      <c r="J141" s="805" t="s">
        <v>4</v>
      </c>
      <c r="K141" s="804" t="s">
        <v>650</v>
      </c>
      <c r="L141" s="804" t="s">
        <v>684</v>
      </c>
      <c r="P141" s="802"/>
      <c r="Q141" s="802"/>
      <c r="R141" s="802"/>
      <c r="Y141" s="802"/>
      <c r="Z141" s="802"/>
      <c r="AA141" s="802"/>
      <c r="AI141" s="802"/>
    </row>
    <row r="142" spans="1:35" s="797" customFormat="1" ht="33" customHeight="1" x14ac:dyDescent="0.25">
      <c r="A142" s="799" t="s">
        <v>637</v>
      </c>
      <c r="B142" s="806"/>
      <c r="C142" s="800">
        <v>0</v>
      </c>
      <c r="D142" s="800">
        <v>0</v>
      </c>
      <c r="E142" s="800">
        <v>0</v>
      </c>
      <c r="F142" s="800">
        <v>0</v>
      </c>
      <c r="G142" s="800">
        <v>0</v>
      </c>
      <c r="H142" s="800">
        <v>0</v>
      </c>
      <c r="I142" s="800">
        <v>0</v>
      </c>
      <c r="J142" s="800">
        <v>0</v>
      </c>
      <c r="K142" s="766">
        <v>0</v>
      </c>
      <c r="L142" s="766">
        <v>0</v>
      </c>
      <c r="P142" s="798"/>
      <c r="Q142" s="798"/>
      <c r="R142" s="798"/>
      <c r="Y142" s="798"/>
      <c r="Z142" s="798"/>
      <c r="AA142" s="798"/>
      <c r="AI142" s="798"/>
    </row>
    <row r="143" spans="1:35" s="43" customFormat="1" ht="33" customHeight="1" x14ac:dyDescent="0.25">
      <c r="A143" s="699"/>
      <c r="B143" s="93"/>
      <c r="C143" s="93"/>
      <c r="D143" s="93"/>
      <c r="E143" s="807"/>
      <c r="F143" s="807"/>
      <c r="G143" s="795"/>
      <c r="H143" s="93"/>
      <c r="I143" s="660"/>
      <c r="J143" s="660"/>
      <c r="K143" s="766"/>
      <c r="L143" s="766"/>
      <c r="P143" s="766"/>
      <c r="Q143" s="766"/>
      <c r="R143" s="766"/>
      <c r="Y143" s="766"/>
      <c r="Z143" s="766"/>
      <c r="AA143" s="766"/>
      <c r="AI143" s="766"/>
    </row>
    <row r="144" spans="1:35" s="43" customFormat="1" ht="33" customHeight="1" x14ac:dyDescent="0.25">
      <c r="A144" s="699" t="s">
        <v>626</v>
      </c>
      <c r="B144" s="793"/>
      <c r="C144" s="93">
        <v>18</v>
      </c>
      <c r="D144" s="93">
        <v>1</v>
      </c>
      <c r="E144" s="807">
        <v>4</v>
      </c>
      <c r="F144" s="807">
        <v>31.2</v>
      </c>
      <c r="G144" s="795">
        <v>34.200000000000003</v>
      </c>
      <c r="H144" s="93">
        <v>250</v>
      </c>
      <c r="I144" s="660">
        <v>200</v>
      </c>
      <c r="J144" s="660">
        <v>200</v>
      </c>
      <c r="K144" s="766">
        <v>1</v>
      </c>
      <c r="L144" s="766">
        <v>6</v>
      </c>
      <c r="P144" s="766"/>
      <c r="Q144" s="766"/>
      <c r="R144" s="766"/>
      <c r="Y144" s="766"/>
      <c r="Z144" s="766"/>
      <c r="AA144" s="766"/>
      <c r="AI144" s="766"/>
    </row>
    <row r="145" spans="1:35" s="43" customFormat="1" ht="33" customHeight="1" x14ac:dyDescent="0.25">
      <c r="A145" s="699" t="s">
        <v>627</v>
      </c>
      <c r="B145" s="793"/>
      <c r="C145" s="93">
        <v>18</v>
      </c>
      <c r="D145" s="93">
        <v>1</v>
      </c>
      <c r="E145" s="807">
        <v>4</v>
      </c>
      <c r="F145" s="807">
        <v>35.200000000000003</v>
      </c>
      <c r="G145" s="795">
        <v>39.200000000000003</v>
      </c>
      <c r="H145" s="93">
        <f>H144+5</f>
        <v>255</v>
      </c>
      <c r="I145" s="660">
        <f>I144+5</f>
        <v>205</v>
      </c>
      <c r="J145" s="660">
        <f>J144+5</f>
        <v>205</v>
      </c>
      <c r="K145" s="766">
        <v>4</v>
      </c>
      <c r="L145" s="766">
        <v>6</v>
      </c>
      <c r="P145" s="766"/>
      <c r="Q145" s="766"/>
      <c r="R145" s="766"/>
      <c r="Y145" s="766"/>
      <c r="Z145" s="766"/>
      <c r="AA145" s="766"/>
      <c r="AI145" s="766"/>
    </row>
    <row r="146" spans="1:35" s="43" customFormat="1" ht="33" customHeight="1" x14ac:dyDescent="0.25">
      <c r="A146" s="699" t="s">
        <v>628</v>
      </c>
      <c r="B146" s="793"/>
      <c r="C146" s="93">
        <v>19</v>
      </c>
      <c r="D146" s="93">
        <v>1</v>
      </c>
      <c r="E146" s="807">
        <v>4</v>
      </c>
      <c r="F146" s="807">
        <v>40.200000000000003</v>
      </c>
      <c r="G146" s="795">
        <v>44.2</v>
      </c>
      <c r="H146" s="93">
        <f t="shared" ref="H146:H153" si="2">H145+5</f>
        <v>260</v>
      </c>
      <c r="I146" s="660">
        <f t="shared" ref="I146:I153" si="3">I145+5</f>
        <v>210</v>
      </c>
      <c r="J146" s="660">
        <f t="shared" ref="J146:J153" si="4">J145+5</f>
        <v>210</v>
      </c>
      <c r="K146" s="766">
        <v>7</v>
      </c>
      <c r="L146" s="766">
        <v>6</v>
      </c>
      <c r="P146" s="766"/>
      <c r="Q146" s="766"/>
      <c r="R146" s="766"/>
      <c r="Y146" s="766"/>
      <c r="Z146" s="766"/>
      <c r="AA146" s="766"/>
      <c r="AI146" s="766"/>
    </row>
    <row r="147" spans="1:35" s="43" customFormat="1" ht="33" customHeight="1" x14ac:dyDescent="0.25">
      <c r="A147" s="699" t="s">
        <v>629</v>
      </c>
      <c r="B147" s="793"/>
      <c r="C147" s="93">
        <v>19</v>
      </c>
      <c r="D147" s="93">
        <v>1</v>
      </c>
      <c r="E147" s="807">
        <v>4</v>
      </c>
      <c r="F147" s="807">
        <v>45.2</v>
      </c>
      <c r="G147" s="795">
        <v>49.2</v>
      </c>
      <c r="H147" s="93">
        <f t="shared" si="2"/>
        <v>265</v>
      </c>
      <c r="I147" s="660">
        <f t="shared" si="3"/>
        <v>215</v>
      </c>
      <c r="J147" s="660">
        <f t="shared" si="4"/>
        <v>215</v>
      </c>
      <c r="K147" s="766">
        <v>10</v>
      </c>
      <c r="L147" s="766">
        <v>6</v>
      </c>
      <c r="P147" s="766"/>
      <c r="Q147" s="766"/>
      <c r="R147" s="766"/>
      <c r="Y147" s="766"/>
      <c r="Z147" s="766"/>
      <c r="AA147" s="766"/>
      <c r="AI147" s="766"/>
    </row>
    <row r="148" spans="1:35" s="43" customFormat="1" ht="33" customHeight="1" x14ac:dyDescent="0.25">
      <c r="A148" s="699" t="s">
        <v>630</v>
      </c>
      <c r="B148" s="793"/>
      <c r="C148" s="93">
        <v>20</v>
      </c>
      <c r="D148" s="93">
        <v>1</v>
      </c>
      <c r="E148" s="807">
        <v>4</v>
      </c>
      <c r="F148" s="807">
        <v>50.3</v>
      </c>
      <c r="G148" s="795">
        <v>55.3</v>
      </c>
      <c r="H148" s="93">
        <f t="shared" si="2"/>
        <v>270</v>
      </c>
      <c r="I148" s="660">
        <f t="shared" si="3"/>
        <v>220</v>
      </c>
      <c r="J148" s="660">
        <f t="shared" si="4"/>
        <v>220</v>
      </c>
      <c r="K148" s="766">
        <v>13</v>
      </c>
      <c r="L148" s="766">
        <v>6</v>
      </c>
      <c r="P148" s="766"/>
      <c r="Q148" s="766"/>
      <c r="R148" s="766"/>
      <c r="Y148" s="766"/>
      <c r="Z148" s="766"/>
      <c r="AA148" s="766"/>
      <c r="AI148" s="766"/>
    </row>
    <row r="149" spans="1:35" s="43" customFormat="1" ht="33" customHeight="1" x14ac:dyDescent="0.25">
      <c r="A149" s="699" t="s">
        <v>631</v>
      </c>
      <c r="B149" s="793"/>
      <c r="C149" s="93">
        <v>20</v>
      </c>
      <c r="D149" s="93">
        <v>1</v>
      </c>
      <c r="E149" s="807">
        <v>4</v>
      </c>
      <c r="F149" s="807">
        <v>56.3</v>
      </c>
      <c r="G149" s="795">
        <v>60.3</v>
      </c>
      <c r="H149" s="93">
        <f t="shared" si="2"/>
        <v>275</v>
      </c>
      <c r="I149" s="660">
        <f t="shared" si="3"/>
        <v>225</v>
      </c>
      <c r="J149" s="660">
        <f t="shared" si="4"/>
        <v>225</v>
      </c>
      <c r="K149" s="766">
        <v>16</v>
      </c>
      <c r="L149" s="766">
        <v>6</v>
      </c>
      <c r="P149" s="766"/>
      <c r="Q149" s="766"/>
      <c r="R149" s="766"/>
      <c r="Y149" s="766"/>
      <c r="Z149" s="766"/>
      <c r="AA149" s="766"/>
      <c r="AI149" s="766"/>
    </row>
    <row r="150" spans="1:35" s="43" customFormat="1" ht="33" customHeight="1" x14ac:dyDescent="0.25">
      <c r="A150" s="699" t="s">
        <v>632</v>
      </c>
      <c r="B150" s="793"/>
      <c r="C150" s="93">
        <v>21</v>
      </c>
      <c r="D150" s="93">
        <v>1</v>
      </c>
      <c r="E150" s="807">
        <v>4</v>
      </c>
      <c r="F150" s="807">
        <v>64.3</v>
      </c>
      <c r="G150" s="795">
        <v>67.3</v>
      </c>
      <c r="H150" s="93">
        <f t="shared" si="2"/>
        <v>280</v>
      </c>
      <c r="I150" s="660">
        <f t="shared" si="3"/>
        <v>230</v>
      </c>
      <c r="J150" s="660">
        <f t="shared" si="4"/>
        <v>230</v>
      </c>
      <c r="K150" s="766">
        <v>19</v>
      </c>
      <c r="L150" s="766">
        <v>6</v>
      </c>
      <c r="P150" s="766"/>
      <c r="Q150" s="766"/>
      <c r="R150" s="766"/>
      <c r="Y150" s="766"/>
      <c r="Z150" s="766"/>
      <c r="AA150" s="766"/>
      <c r="AI150" s="766"/>
    </row>
    <row r="151" spans="1:35" s="43" customFormat="1" ht="33" customHeight="1" x14ac:dyDescent="0.25">
      <c r="A151" s="699" t="s">
        <v>633</v>
      </c>
      <c r="B151" s="793"/>
      <c r="C151" s="93">
        <v>21</v>
      </c>
      <c r="D151" s="93">
        <v>1</v>
      </c>
      <c r="E151" s="807">
        <v>4</v>
      </c>
      <c r="F151" s="807">
        <v>72.400000000000006</v>
      </c>
      <c r="G151" s="795">
        <v>77.400000000000006</v>
      </c>
      <c r="H151" s="93">
        <f t="shared" si="2"/>
        <v>285</v>
      </c>
      <c r="I151" s="660">
        <f t="shared" si="3"/>
        <v>235</v>
      </c>
      <c r="J151" s="660">
        <f t="shared" si="4"/>
        <v>235</v>
      </c>
      <c r="K151" s="766">
        <v>22</v>
      </c>
      <c r="L151" s="766">
        <v>6</v>
      </c>
      <c r="P151" s="766"/>
      <c r="Q151" s="766"/>
      <c r="R151" s="766"/>
      <c r="Y151" s="766"/>
      <c r="Z151" s="766"/>
      <c r="AA151" s="766"/>
      <c r="AI151" s="766"/>
    </row>
    <row r="152" spans="1:35" s="43" customFormat="1" ht="33" customHeight="1" x14ac:dyDescent="0.25">
      <c r="A152" s="699" t="s">
        <v>634</v>
      </c>
      <c r="B152" s="793"/>
      <c r="C152" s="93">
        <v>22</v>
      </c>
      <c r="D152" s="93">
        <v>1</v>
      </c>
      <c r="E152" s="807">
        <v>4</v>
      </c>
      <c r="F152" s="807">
        <v>82.4</v>
      </c>
      <c r="G152" s="795">
        <v>86.4</v>
      </c>
      <c r="H152" s="93">
        <f t="shared" si="2"/>
        <v>290</v>
      </c>
      <c r="I152" s="660">
        <f t="shared" si="3"/>
        <v>240</v>
      </c>
      <c r="J152" s="660">
        <f t="shared" si="4"/>
        <v>240</v>
      </c>
      <c r="K152" s="766">
        <v>26</v>
      </c>
      <c r="L152" s="766">
        <v>6</v>
      </c>
      <c r="P152" s="766"/>
      <c r="Q152" s="766"/>
      <c r="R152" s="766"/>
      <c r="Y152" s="766"/>
      <c r="Z152" s="766"/>
      <c r="AA152" s="766"/>
      <c r="AI152" s="766"/>
    </row>
    <row r="153" spans="1:35" s="43" customFormat="1" ht="33" customHeight="1" x14ac:dyDescent="0.25">
      <c r="A153" s="767" t="s">
        <v>635</v>
      </c>
      <c r="B153" s="794"/>
      <c r="C153" s="768">
        <v>22</v>
      </c>
      <c r="D153" s="93">
        <v>1</v>
      </c>
      <c r="E153" s="807">
        <v>4</v>
      </c>
      <c r="F153" s="808">
        <v>91.5</v>
      </c>
      <c r="G153" s="796">
        <v>96.5</v>
      </c>
      <c r="H153" s="93">
        <f t="shared" si="2"/>
        <v>295</v>
      </c>
      <c r="I153" s="660">
        <f t="shared" si="3"/>
        <v>245</v>
      </c>
      <c r="J153" s="660">
        <f t="shared" si="4"/>
        <v>245</v>
      </c>
      <c r="K153" s="766">
        <v>30</v>
      </c>
      <c r="L153" s="766">
        <v>6</v>
      </c>
      <c r="P153" s="766"/>
      <c r="Q153" s="766"/>
      <c r="R153" s="766"/>
      <c r="Y153" s="766"/>
      <c r="Z153" s="766"/>
      <c r="AA153" s="766"/>
      <c r="AI153" s="766"/>
    </row>
    <row r="154" spans="1:35" ht="33" customHeight="1" x14ac:dyDescent="0.25">
      <c r="E154" s="648"/>
      <c r="F154" s="648"/>
    </row>
    <row r="155" spans="1:35" ht="33" customHeight="1" x14ac:dyDescent="0.25">
      <c r="E155" s="648"/>
      <c r="F155" s="648"/>
    </row>
  </sheetData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73474BD-A3F3-4A08-985F-50EAF4983BE4}">
            <xm:f>SUM(Примерочная!$P$7,Примерочная!$Q$7,Примерочная!$R$7,Примерочная!$S$7,Примерочная!$T$7,Примерочная!$U$7)=5</xm:f>
            <x14:dxf>
              <fill>
                <gradientFill type="path" left="0.5" right="0.5" top="0.5" bottom="0.5">
                  <stop position="0">
                    <color rgb="FF111111"/>
                  </stop>
                  <stop position="1">
                    <color rgb="FFC00000"/>
                  </stop>
                </gradientFill>
              </fill>
            </x14:dxf>
          </x14:cfRule>
          <x14:cfRule type="expression" priority="2" id="{71741015-F9BD-4F45-9B09-BD6C40DA7530}">
            <xm:f>SUM(Примерочная!$P$7,Примерочная!$Q$7,Примерочная!$R$7,Примерочная!$S$7,Примерочная!$T$7,Примерочная!$U$7)=4</xm:f>
            <x14:dxf>
              <fill>
                <gradientFill type="path" left="0.5" right="0.5" top="0.5" bottom="0.5">
                  <stop position="0">
                    <color rgb="FF111111"/>
                  </stop>
                  <stop position="1">
                    <color rgb="FFFFC000"/>
                  </stop>
                </gradientFill>
              </fill>
            </x14:dxf>
          </x14:cfRule>
          <x14:cfRule type="expression" priority="3" id="{DAC0623D-49B6-4D12-82BD-B1A186E39C70}">
            <xm:f>SUM(Примерочная!$P$7,Примерочная!$Q$7,Примерочная!$R$7,Примерочная!$S$7,Примерочная!$T$7,Примерочная!$U$7)=3</xm:f>
            <x14:dxf>
              <fill>
                <gradientFill type="path" left="0.5" right="0.5" top="0.5" bottom="0.5">
                  <stop position="0">
                    <color rgb="FF111111"/>
                  </stop>
                  <stop position="1">
                    <color rgb="FF00B050"/>
                  </stop>
                </gradientFill>
              </fill>
            </x14:dxf>
          </x14:cfRule>
          <x14:cfRule type="expression" priority="4" id="{C141C630-1884-45DE-8222-967A1AF79520}">
            <xm:f>SUM(Примерочная!$P$7,Примерочная!$Q$7,Примерочная!$R$7,Примерочная!$S$7,Примерочная!$T$7,Примерочная!$U$7)=2</xm:f>
            <x14:dxf>
              <fill>
                <gradientFill type="path" left="0.5" right="0.5" top="0.5" bottom="0.5">
                  <stop position="0">
                    <color rgb="FF111111"/>
                  </stop>
                  <stop position="1">
                    <color rgb="FF0070C0"/>
                  </stop>
                </gradientFill>
              </fill>
            </x14:dxf>
          </x14:cfRule>
          <x14:cfRule type="expression" priority="5" id="{FE11942D-001E-4F66-A6F1-3D24F0842DD8}">
            <xm:f>SUM(Примерочная!$P$7,Примерочная!$Q$7,Примерочная!$R$7,Примерочная!$S$7,Примерочная!$T$7,Примерочная!$U$7)=1</xm:f>
            <x14:dxf>
              <fill>
                <gradientFill type="path" left="0.5" right="0.5" top="0.5" bottom="0.5">
                  <stop position="0">
                    <color rgb="FF111111"/>
                  </stop>
                  <stop position="1">
                    <color theme="0" tint="-0.1490218817712943"/>
                  </stop>
                </gradientFill>
              </fill>
            </x14:dxf>
          </x14:cfRule>
          <xm:sqref>B6:B20 B24:B37 B41:B53 B57:B81 B85:B97 B101:B125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1:AZ31"/>
  <sheetViews>
    <sheetView showGridLines="0" topLeftCell="X1" zoomScale="80" zoomScaleNormal="80" workbookViewId="0">
      <selection activeCell="AQ14" sqref="AQ14"/>
    </sheetView>
  </sheetViews>
  <sheetFormatPr defaultRowHeight="18.75" customHeight="1" x14ac:dyDescent="0.25"/>
  <cols>
    <col min="1" max="1" width="3.5703125" style="364" customWidth="1"/>
    <col min="2" max="2" width="7.140625" style="364" customWidth="1"/>
    <col min="3" max="3" width="9.140625" style="364" customWidth="1"/>
    <col min="4" max="4" width="9.140625" style="364"/>
    <col min="5" max="5" width="3.5703125" style="364" customWidth="1"/>
    <col min="6" max="6" width="7" style="364" customWidth="1"/>
    <col min="7" max="8" width="9.140625" style="1039" customWidth="1"/>
    <col min="9" max="9" width="3.5703125" style="364" customWidth="1"/>
    <col min="10" max="10" width="7.140625" style="364" customWidth="1"/>
    <col min="11" max="12" width="9.140625" style="364"/>
    <col min="13" max="13" width="3.5703125" style="364" customWidth="1"/>
    <col min="14" max="14" width="7.140625" style="364" customWidth="1"/>
    <col min="15" max="16" width="9.140625" style="18"/>
    <col min="17" max="17" width="3.5703125" style="364" customWidth="1"/>
    <col min="18" max="18" width="7.140625" style="364" customWidth="1"/>
    <col min="19" max="20" width="9.140625" style="364"/>
    <col min="21" max="21" width="3.5703125" style="364" customWidth="1"/>
    <col min="22" max="22" width="7.140625" style="364" customWidth="1"/>
    <col min="23" max="24" width="9.140625" style="364"/>
    <col min="25" max="25" width="3.5703125" style="364" customWidth="1"/>
    <col min="26" max="26" width="7.140625" style="364" customWidth="1"/>
    <col min="27" max="28" width="9.140625" style="364"/>
    <col min="29" max="29" width="3.5703125" style="364" customWidth="1"/>
    <col min="30" max="30" width="7.140625" style="364" customWidth="1"/>
    <col min="31" max="32" width="9.140625" style="1039"/>
    <col min="33" max="33" width="3.5703125" style="364" customWidth="1"/>
    <col min="34" max="34" width="7.140625" style="364" customWidth="1"/>
    <col min="35" max="36" width="9.140625" style="1041"/>
    <col min="37" max="37" width="3.5703125" style="364" customWidth="1"/>
    <col min="38" max="38" width="7.140625" style="364" customWidth="1"/>
    <col min="39" max="40" width="9.140625" style="364"/>
    <col min="41" max="41" width="3.7109375" style="364" customWidth="1"/>
    <col min="42" max="42" width="7.140625" style="364" customWidth="1"/>
    <col min="43" max="44" width="9.140625" style="364"/>
    <col min="45" max="45" width="3.7109375" style="364" customWidth="1"/>
    <col min="46" max="46" width="7.140625" style="364" customWidth="1"/>
    <col min="47" max="48" width="9.140625" style="364"/>
    <col min="49" max="49" width="3.5703125" style="364" customWidth="1"/>
    <col min="50" max="50" width="7.140625" style="364" customWidth="1"/>
    <col min="51" max="16384" width="9.140625" style="364"/>
  </cols>
  <sheetData>
    <row r="1" spans="1:52" s="1033" customFormat="1" ht="37.5" customHeight="1" thickBot="1" x14ac:dyDescent="0.3">
      <c r="A1" s="1735" t="s">
        <v>686</v>
      </c>
      <c r="B1" s="1736"/>
      <c r="C1" s="1748"/>
      <c r="D1" s="1749"/>
      <c r="E1" s="1735" t="s">
        <v>71</v>
      </c>
      <c r="F1" s="1736"/>
      <c r="G1" s="1748"/>
      <c r="H1" s="1749"/>
      <c r="I1" s="1735" t="s">
        <v>253</v>
      </c>
      <c r="J1" s="1736"/>
      <c r="K1" s="1736"/>
      <c r="L1" s="1737"/>
      <c r="M1" s="1735" t="s">
        <v>278</v>
      </c>
      <c r="N1" s="1736"/>
      <c r="O1" s="1736"/>
      <c r="P1" s="1745"/>
      <c r="Q1" s="1735" t="s">
        <v>709</v>
      </c>
      <c r="R1" s="1736"/>
      <c r="S1" s="1736"/>
      <c r="T1" s="1745"/>
      <c r="U1" s="1735" t="s">
        <v>297</v>
      </c>
      <c r="V1" s="1736"/>
      <c r="W1" s="1736"/>
      <c r="X1" s="1745"/>
      <c r="Y1" s="1735" t="s">
        <v>713</v>
      </c>
      <c r="Z1" s="1736"/>
      <c r="AA1" s="1736"/>
      <c r="AB1" s="1737"/>
      <c r="AC1" s="1735" t="s">
        <v>719</v>
      </c>
      <c r="AD1" s="1736"/>
      <c r="AE1" s="1736"/>
      <c r="AF1" s="1737"/>
      <c r="AG1" s="1735" t="s">
        <v>706</v>
      </c>
      <c r="AH1" s="1736"/>
      <c r="AI1" s="1736"/>
      <c r="AJ1" s="1745"/>
      <c r="AK1" s="1735" t="s">
        <v>247</v>
      </c>
      <c r="AL1" s="1736"/>
      <c r="AM1" s="1736"/>
      <c r="AN1" s="1745"/>
      <c r="AO1" s="1735" t="s">
        <v>724</v>
      </c>
      <c r="AP1" s="1736"/>
      <c r="AQ1" s="1736"/>
      <c r="AR1" s="1737"/>
      <c r="AS1" s="1735" t="s">
        <v>735</v>
      </c>
      <c r="AT1" s="1736"/>
      <c r="AU1" s="1736"/>
      <c r="AV1" s="1745"/>
      <c r="AW1" s="1735" t="s">
        <v>417</v>
      </c>
      <c r="AX1" s="1736"/>
      <c r="AY1" s="1736"/>
      <c r="AZ1" s="1737"/>
    </row>
    <row r="2" spans="1:52" s="1040" customFormat="1" ht="18.75" customHeight="1" thickBot="1" x14ac:dyDescent="0.3">
      <c r="A2" s="1751"/>
      <c r="B2" s="1752"/>
      <c r="C2" s="1049"/>
      <c r="D2" s="1050"/>
      <c r="E2" s="1738"/>
      <c r="F2" s="1750"/>
      <c r="G2" s="1050"/>
      <c r="H2" s="1050"/>
      <c r="I2" s="1740"/>
      <c r="J2" s="1741"/>
      <c r="K2" s="1035"/>
      <c r="L2" s="1046"/>
      <c r="M2" s="1740"/>
      <c r="N2" s="1741"/>
      <c r="O2" s="1035"/>
      <c r="P2" s="1047"/>
      <c r="Q2" s="1740"/>
      <c r="R2" s="1741"/>
      <c r="S2" s="1034"/>
      <c r="T2" s="1038"/>
      <c r="U2" s="1740"/>
      <c r="V2" s="1741"/>
      <c r="W2" s="1036"/>
      <c r="X2" s="1047"/>
      <c r="Y2" s="1738"/>
      <c r="Z2" s="1739"/>
      <c r="AA2" s="1037"/>
      <c r="AB2" s="1048"/>
      <c r="AC2" s="1740"/>
      <c r="AD2" s="1741"/>
      <c r="AE2" s="1035"/>
      <c r="AF2" s="1046"/>
      <c r="AG2" s="1738"/>
      <c r="AH2" s="1739"/>
      <c r="AI2" s="1034"/>
      <c r="AJ2" s="1038"/>
      <c r="AK2" s="1738"/>
      <c r="AL2" s="1739"/>
      <c r="AM2" s="1034"/>
      <c r="AN2" s="1038"/>
      <c r="AO2" s="1740"/>
      <c r="AP2" s="1741"/>
      <c r="AQ2" s="1035"/>
      <c r="AR2" s="1046"/>
      <c r="AS2" s="1740"/>
      <c r="AT2" s="1741"/>
      <c r="AU2" s="1035"/>
      <c r="AV2" s="1047"/>
      <c r="AW2" s="1738"/>
      <c r="AX2" s="1739"/>
      <c r="AY2" s="1034"/>
      <c r="AZ2" s="1578"/>
    </row>
    <row r="3" spans="1:52" ht="37.5" customHeight="1" thickBot="1" x14ac:dyDescent="0.3">
      <c r="A3" s="1043" t="b">
        <v>1</v>
      </c>
      <c r="B3" s="20"/>
      <c r="C3" s="1743" t="s">
        <v>687</v>
      </c>
      <c r="D3" s="1744"/>
      <c r="E3" s="1043" t="b">
        <v>1</v>
      </c>
      <c r="F3" s="20"/>
      <c r="G3" s="1743" t="s">
        <v>715</v>
      </c>
      <c r="H3" s="1744"/>
      <c r="I3" s="1043" t="b">
        <v>1</v>
      </c>
      <c r="J3" s="20"/>
      <c r="K3" s="1729" t="s">
        <v>726</v>
      </c>
      <c r="L3" s="1730"/>
      <c r="M3" s="1043" t="b">
        <v>1</v>
      </c>
      <c r="N3" s="20"/>
      <c r="O3" s="1729" t="s">
        <v>731</v>
      </c>
      <c r="P3" s="1742"/>
      <c r="Q3" s="1043" t="b">
        <v>1</v>
      </c>
      <c r="R3" s="20"/>
      <c r="S3" s="1729" t="s">
        <v>712</v>
      </c>
      <c r="T3" s="1742"/>
      <c r="U3" s="1043" t="b">
        <v>1</v>
      </c>
      <c r="V3" s="20"/>
      <c r="W3" s="1729" t="s">
        <v>722</v>
      </c>
      <c r="X3" s="1742"/>
      <c r="Y3" s="1043" t="b">
        <v>1</v>
      </c>
      <c r="Z3" s="20"/>
      <c r="AA3" s="1733" t="s">
        <v>714</v>
      </c>
      <c r="AB3" s="1734"/>
      <c r="AC3" s="1043" t="b">
        <v>1</v>
      </c>
      <c r="AD3" s="20"/>
      <c r="AE3" s="1729" t="s">
        <v>720</v>
      </c>
      <c r="AF3" s="1730"/>
      <c r="AG3" s="1043" t="b">
        <v>1</v>
      </c>
      <c r="AH3" s="20"/>
      <c r="AI3" s="1729" t="s">
        <v>711</v>
      </c>
      <c r="AJ3" s="1742"/>
      <c r="AK3" s="1043" t="b">
        <v>1</v>
      </c>
      <c r="AL3" s="20"/>
      <c r="AM3" s="1729" t="s">
        <v>721</v>
      </c>
      <c r="AN3" s="1730"/>
      <c r="AO3" s="1044" t="b">
        <v>1</v>
      </c>
      <c r="AP3" s="1045"/>
      <c r="AQ3" s="1731" t="s">
        <v>725</v>
      </c>
      <c r="AR3" s="1732"/>
      <c r="AS3" s="1044" t="b">
        <v>0</v>
      </c>
      <c r="AT3" s="1045"/>
      <c r="AU3" s="1731" t="s">
        <v>736</v>
      </c>
      <c r="AV3" s="1753"/>
      <c r="AW3" s="1043" t="b">
        <v>1</v>
      </c>
      <c r="AX3" s="20"/>
      <c r="AY3" s="1729" t="s">
        <v>923</v>
      </c>
      <c r="AZ3" s="1730"/>
    </row>
    <row r="4" spans="1:52" ht="37.5" customHeight="1" thickBot="1" x14ac:dyDescent="0.3">
      <c r="A4" s="1043" t="b">
        <v>1</v>
      </c>
      <c r="B4" s="20"/>
      <c r="C4" s="1729" t="s">
        <v>688</v>
      </c>
      <c r="D4" s="1742"/>
      <c r="E4" s="1043" t="b">
        <v>0</v>
      </c>
      <c r="F4" s="20"/>
      <c r="G4" s="1729" t="s">
        <v>716</v>
      </c>
      <c r="H4" s="1742"/>
      <c r="I4" s="1043" t="b">
        <v>1</v>
      </c>
      <c r="J4" s="20"/>
      <c r="K4" s="1729" t="s">
        <v>728</v>
      </c>
      <c r="L4" s="1730"/>
      <c r="M4" s="1043" t="b">
        <v>1</v>
      </c>
      <c r="N4" s="20"/>
      <c r="O4" s="1729" t="s">
        <v>745</v>
      </c>
      <c r="P4" s="1742"/>
      <c r="Q4" s="1043" t="b">
        <v>1</v>
      </c>
      <c r="R4" s="20"/>
      <c r="S4" s="1729" t="s">
        <v>727</v>
      </c>
      <c r="T4" s="1742"/>
      <c r="U4" s="1044" t="b">
        <v>1</v>
      </c>
      <c r="V4" s="1045"/>
      <c r="W4" s="1731" t="s">
        <v>723</v>
      </c>
      <c r="X4" s="1753"/>
      <c r="Y4" s="1044" t="b">
        <v>0</v>
      </c>
      <c r="Z4" s="1045"/>
      <c r="AA4" s="1754" t="s">
        <v>739</v>
      </c>
      <c r="AB4" s="1755"/>
      <c r="AC4" s="1044" t="b">
        <v>0</v>
      </c>
      <c r="AD4" s="1045"/>
      <c r="AE4" s="1731" t="s">
        <v>738</v>
      </c>
      <c r="AF4" s="1732"/>
      <c r="AG4" s="1044" t="b">
        <v>0</v>
      </c>
      <c r="AH4" s="1045"/>
      <c r="AI4" s="1731" t="s">
        <v>742</v>
      </c>
      <c r="AJ4" s="1732"/>
      <c r="AK4" s="1051" t="b">
        <v>1</v>
      </c>
      <c r="AL4" s="1052"/>
      <c r="AM4" s="1746" t="s">
        <v>710</v>
      </c>
      <c r="AN4" s="1747"/>
      <c r="AV4" s="364">
        <v>1</v>
      </c>
      <c r="AW4" s="1043" t="b">
        <v>1</v>
      </c>
      <c r="AX4" s="20"/>
      <c r="AY4" s="1729" t="s">
        <v>924</v>
      </c>
      <c r="AZ4" s="1730"/>
    </row>
    <row r="5" spans="1:52" ht="37.5" customHeight="1" thickBot="1" x14ac:dyDescent="0.3">
      <c r="A5" s="1043" t="b">
        <v>1</v>
      </c>
      <c r="B5" s="20"/>
      <c r="C5" s="1729" t="s">
        <v>685</v>
      </c>
      <c r="D5" s="1742"/>
      <c r="E5" s="1043" t="b">
        <v>1</v>
      </c>
      <c r="F5" s="20"/>
      <c r="G5" s="1729" t="s">
        <v>717</v>
      </c>
      <c r="H5" s="1742"/>
      <c r="I5" s="1043" t="b">
        <v>1</v>
      </c>
      <c r="J5" s="20"/>
      <c r="K5" s="1729" t="s">
        <v>729</v>
      </c>
      <c r="L5" s="1730"/>
      <c r="M5" s="1043" t="b">
        <v>0</v>
      </c>
      <c r="N5" s="20"/>
      <c r="O5" s="1729" t="s">
        <v>740</v>
      </c>
      <c r="P5" s="1742"/>
      <c r="Q5" s="1044" t="b">
        <v>0</v>
      </c>
      <c r="R5" s="1045"/>
      <c r="S5" s="1731" t="s">
        <v>737</v>
      </c>
      <c r="T5" s="1732"/>
      <c r="AV5" s="364">
        <v>1</v>
      </c>
      <c r="AW5" s="1043" t="b">
        <v>1</v>
      </c>
      <c r="AX5" s="20"/>
      <c r="AY5" s="1733" t="s">
        <v>925</v>
      </c>
      <c r="AZ5" s="1734"/>
    </row>
    <row r="6" spans="1:52" ht="37.5" customHeight="1" thickBot="1" x14ac:dyDescent="0.3">
      <c r="A6" s="1043" t="b">
        <v>1</v>
      </c>
      <c r="B6" s="20"/>
      <c r="C6" s="1729" t="s">
        <v>689</v>
      </c>
      <c r="D6" s="1742"/>
      <c r="E6" s="1043" t="b">
        <v>1</v>
      </c>
      <c r="F6" s="20"/>
      <c r="G6" s="1729" t="s">
        <v>718</v>
      </c>
      <c r="H6" s="1742"/>
      <c r="I6" s="1043" t="b">
        <v>1</v>
      </c>
      <c r="J6" s="20"/>
      <c r="K6" s="1729" t="s">
        <v>730</v>
      </c>
      <c r="L6" s="1730"/>
      <c r="M6" s="1044" t="b">
        <v>0</v>
      </c>
      <c r="N6" s="1045"/>
      <c r="O6" s="1731" t="s">
        <v>741</v>
      </c>
      <c r="P6" s="1732"/>
      <c r="AV6" s="364">
        <v>1</v>
      </c>
      <c r="AW6" s="1043" t="b">
        <v>1</v>
      </c>
      <c r="AX6" s="20"/>
      <c r="AY6" s="1733" t="s">
        <v>926</v>
      </c>
      <c r="AZ6" s="1734"/>
    </row>
    <row r="7" spans="1:52" ht="37.5" customHeight="1" x14ac:dyDescent="0.25">
      <c r="A7" s="1043" t="b">
        <v>1</v>
      </c>
      <c r="B7" s="20"/>
      <c r="C7" s="1729" t="s">
        <v>690</v>
      </c>
      <c r="D7" s="1742"/>
      <c r="E7" s="1043" t="b">
        <v>1</v>
      </c>
      <c r="F7" s="20"/>
      <c r="G7" s="1729" t="s">
        <v>744</v>
      </c>
      <c r="H7" s="1742"/>
      <c r="I7" s="1043" t="b">
        <v>1</v>
      </c>
      <c r="J7" s="20"/>
      <c r="K7" s="1729" t="s">
        <v>732</v>
      </c>
      <c r="L7" s="1730"/>
      <c r="AV7" s="364">
        <v>2</v>
      </c>
      <c r="AW7" s="1043" t="b">
        <v>1</v>
      </c>
      <c r="AX7" s="20"/>
      <c r="AY7" s="1729" t="s">
        <v>927</v>
      </c>
      <c r="AZ7" s="1730"/>
    </row>
    <row r="8" spans="1:52" ht="37.5" customHeight="1" thickBot="1" x14ac:dyDescent="0.3">
      <c r="A8" s="1043" t="b">
        <v>1</v>
      </c>
      <c r="B8" s="20"/>
      <c r="C8" s="1729" t="s">
        <v>691</v>
      </c>
      <c r="D8" s="1742"/>
      <c r="E8" s="1044" t="b">
        <v>1</v>
      </c>
      <c r="F8" s="1045"/>
      <c r="G8" s="1754" t="s">
        <v>743</v>
      </c>
      <c r="H8" s="1756"/>
      <c r="I8" s="1044" t="b">
        <v>1</v>
      </c>
      <c r="J8" s="1045"/>
      <c r="K8" s="1731" t="s">
        <v>733</v>
      </c>
      <c r="L8" s="1732"/>
      <c r="AV8" s="364">
        <v>2</v>
      </c>
      <c r="AW8" s="1043" t="b">
        <v>1</v>
      </c>
      <c r="AX8" s="20"/>
      <c r="AY8" s="1733" t="s">
        <v>928</v>
      </c>
      <c r="AZ8" s="1734"/>
    </row>
    <row r="9" spans="1:52" ht="37.5" customHeight="1" x14ac:dyDescent="0.25">
      <c r="A9" s="1043" t="b">
        <v>1</v>
      </c>
      <c r="B9" s="20"/>
      <c r="C9" s="1729" t="s">
        <v>692</v>
      </c>
      <c r="D9" s="1730"/>
      <c r="AV9" s="364">
        <v>3</v>
      </c>
      <c r="AW9" s="1043" t="b">
        <v>1</v>
      </c>
      <c r="AX9" s="20"/>
      <c r="AY9" s="1729" t="s">
        <v>929</v>
      </c>
      <c r="AZ9" s="1730"/>
    </row>
    <row r="10" spans="1:52" ht="37.5" customHeight="1" x14ac:dyDescent="0.25">
      <c r="A10" s="1043" t="b">
        <v>1</v>
      </c>
      <c r="B10" s="20"/>
      <c r="C10" s="1729" t="s">
        <v>693</v>
      </c>
      <c r="D10" s="1730"/>
      <c r="AV10" s="364">
        <v>1</v>
      </c>
      <c r="AW10" s="1043" t="b">
        <v>1</v>
      </c>
      <c r="AX10" s="20"/>
      <c r="AY10" s="1729" t="s">
        <v>930</v>
      </c>
      <c r="AZ10" s="1730"/>
    </row>
    <row r="11" spans="1:52" ht="37.5" customHeight="1" x14ac:dyDescent="0.25">
      <c r="A11" s="1043" t="b">
        <v>1</v>
      </c>
      <c r="B11" s="20"/>
      <c r="C11" s="1729" t="s">
        <v>694</v>
      </c>
      <c r="D11" s="1730"/>
      <c r="AV11" s="364">
        <v>2</v>
      </c>
      <c r="AW11" s="1043" t="b">
        <v>1</v>
      </c>
      <c r="AX11" s="20"/>
      <c r="AY11" s="1729" t="s">
        <v>931</v>
      </c>
      <c r="AZ11" s="1730"/>
    </row>
    <row r="12" spans="1:52" ht="37.5" customHeight="1" x14ac:dyDescent="0.25">
      <c r="A12" s="1043" t="b">
        <v>1</v>
      </c>
      <c r="B12" s="20"/>
      <c r="C12" s="1729" t="s">
        <v>695</v>
      </c>
      <c r="D12" s="1730"/>
      <c r="AV12" s="364">
        <v>1</v>
      </c>
      <c r="AW12" s="1043" t="b">
        <v>1</v>
      </c>
      <c r="AX12" s="20"/>
      <c r="AY12" s="1729" t="s">
        <v>932</v>
      </c>
      <c r="AZ12" s="1730"/>
    </row>
    <row r="13" spans="1:52" ht="37.5" customHeight="1" x14ac:dyDescent="0.25">
      <c r="A13" s="1043" t="b">
        <v>1</v>
      </c>
      <c r="B13" s="20"/>
      <c r="C13" s="1729" t="s">
        <v>696</v>
      </c>
      <c r="D13" s="1730"/>
      <c r="AV13" s="364">
        <v>2</v>
      </c>
      <c r="AW13" s="1043" t="b">
        <v>1</v>
      </c>
      <c r="AX13" s="20"/>
      <c r="AY13" s="1729" t="s">
        <v>933</v>
      </c>
      <c r="AZ13" s="1730"/>
    </row>
    <row r="14" spans="1:52" ht="37.5" customHeight="1" x14ac:dyDescent="0.25">
      <c r="A14" s="1043" t="b">
        <v>1</v>
      </c>
      <c r="B14" s="20"/>
      <c r="C14" s="1729" t="s">
        <v>697</v>
      </c>
      <c r="D14" s="1730"/>
      <c r="AV14" s="364">
        <v>1</v>
      </c>
      <c r="AW14" s="1043" t="b">
        <v>1</v>
      </c>
      <c r="AX14" s="20"/>
      <c r="AY14" s="1729" t="s">
        <v>934</v>
      </c>
      <c r="AZ14" s="1730"/>
    </row>
    <row r="15" spans="1:52" ht="37.5" customHeight="1" thickBot="1" x14ac:dyDescent="0.3">
      <c r="A15" s="1043" t="b">
        <v>1</v>
      </c>
      <c r="B15" s="20"/>
      <c r="C15" s="1729" t="s">
        <v>698</v>
      </c>
      <c r="D15" s="1730"/>
      <c r="AV15" s="364">
        <v>2</v>
      </c>
      <c r="AW15" s="1044" t="b">
        <v>1</v>
      </c>
      <c r="AX15" s="1045"/>
      <c r="AY15" s="1731" t="s">
        <v>935</v>
      </c>
      <c r="AZ15" s="1732"/>
    </row>
    <row r="16" spans="1:52" ht="37.5" customHeight="1" x14ac:dyDescent="0.25">
      <c r="A16" s="1043" t="b">
        <v>1</v>
      </c>
      <c r="B16" s="20"/>
      <c r="C16" s="1729" t="s">
        <v>699</v>
      </c>
      <c r="D16" s="1730"/>
      <c r="AY16" s="1585"/>
      <c r="AZ16" s="1585"/>
    </row>
    <row r="17" spans="1:52" ht="37.5" customHeight="1" x14ac:dyDescent="0.25">
      <c r="A17" s="1043" t="b">
        <v>1</v>
      </c>
      <c r="B17" s="20"/>
      <c r="C17" s="1729" t="s">
        <v>700</v>
      </c>
      <c r="D17" s="1730"/>
      <c r="AY17" s="1585"/>
      <c r="AZ17" s="1585"/>
    </row>
    <row r="18" spans="1:52" ht="37.5" customHeight="1" x14ac:dyDescent="0.25">
      <c r="A18" s="1043" t="b">
        <v>1</v>
      </c>
      <c r="B18" s="20"/>
      <c r="C18" s="1729" t="s">
        <v>701</v>
      </c>
      <c r="D18" s="1730"/>
      <c r="AY18" s="1585"/>
      <c r="AZ18" s="1585"/>
    </row>
    <row r="19" spans="1:52" ht="37.5" customHeight="1" x14ac:dyDescent="0.25">
      <c r="A19" s="1043" t="b">
        <v>1</v>
      </c>
      <c r="B19" s="20"/>
      <c r="C19" s="1729" t="s">
        <v>702</v>
      </c>
      <c r="D19" s="1730"/>
      <c r="AY19" s="1585"/>
      <c r="AZ19" s="1585"/>
    </row>
    <row r="20" spans="1:52" ht="37.5" customHeight="1" x14ac:dyDescent="0.25">
      <c r="A20" s="1043" t="b">
        <v>1</v>
      </c>
      <c r="B20" s="20"/>
      <c r="C20" s="1729" t="s">
        <v>703</v>
      </c>
      <c r="D20" s="1730"/>
    </row>
    <row r="21" spans="1:52" ht="37.5" customHeight="1" x14ac:dyDescent="0.25">
      <c r="A21" s="1043" t="b">
        <v>1</v>
      </c>
      <c r="B21" s="20"/>
      <c r="C21" s="1729" t="s">
        <v>704</v>
      </c>
      <c r="D21" s="1730"/>
    </row>
    <row r="22" spans="1:52" ht="37.5" customHeight="1" x14ac:dyDescent="0.25">
      <c r="A22" s="1043" t="b">
        <v>1</v>
      </c>
      <c r="B22" s="20"/>
      <c r="C22" s="1729" t="s">
        <v>705</v>
      </c>
      <c r="D22" s="1730"/>
    </row>
    <row r="23" spans="1:52" ht="37.5" customHeight="1" x14ac:dyDescent="0.25">
      <c r="A23" s="1043" t="b">
        <v>1</v>
      </c>
      <c r="B23" s="20"/>
      <c r="C23" s="1733" t="s">
        <v>707</v>
      </c>
      <c r="D23" s="1734"/>
    </row>
    <row r="24" spans="1:52" ht="37.5" customHeight="1" x14ac:dyDescent="0.25">
      <c r="A24" s="1043" t="b">
        <v>1</v>
      </c>
      <c r="B24" s="20"/>
      <c r="C24" s="1729" t="s">
        <v>708</v>
      </c>
      <c r="D24" s="1730"/>
    </row>
    <row r="25" spans="1:52" ht="37.5" customHeight="1" thickBot="1" x14ac:dyDescent="0.3">
      <c r="A25" s="1044" t="b">
        <v>0</v>
      </c>
      <c r="B25" s="1045"/>
      <c r="C25" s="1754" t="s">
        <v>734</v>
      </c>
      <c r="D25" s="1755"/>
    </row>
    <row r="26" spans="1:52" ht="37.5" customHeight="1" x14ac:dyDescent="0.25">
      <c r="C26" s="1042"/>
      <c r="D26" s="1042"/>
    </row>
    <row r="27" spans="1:52" ht="37.5" customHeight="1" x14ac:dyDescent="0.25">
      <c r="C27" s="1042"/>
      <c r="D27" s="1042"/>
    </row>
    <row r="28" spans="1:52" ht="37.5" customHeight="1" x14ac:dyDescent="0.25"/>
    <row r="29" spans="1:52" ht="37.5" customHeight="1" x14ac:dyDescent="0.25"/>
    <row r="30" spans="1:52" ht="37.5" customHeight="1" x14ac:dyDescent="0.25"/>
    <row r="31" spans="1:52" ht="37.5" customHeight="1" x14ac:dyDescent="0.25"/>
  </sheetData>
  <mergeCells count="93">
    <mergeCell ref="O6:P6"/>
    <mergeCell ref="AI4:AJ4"/>
    <mergeCell ref="AS1:AV1"/>
    <mergeCell ref="AU3:AV3"/>
    <mergeCell ref="S5:T5"/>
    <mergeCell ref="AE4:AF4"/>
    <mergeCell ref="AA4:AB4"/>
    <mergeCell ref="O5:P5"/>
    <mergeCell ref="M1:P1"/>
    <mergeCell ref="O3:P3"/>
    <mergeCell ref="O4:P4"/>
    <mergeCell ref="AO1:AR1"/>
    <mergeCell ref="AQ3:AR3"/>
    <mergeCell ref="S4:T4"/>
    <mergeCell ref="AC1:AF1"/>
    <mergeCell ref="AE3:AF3"/>
    <mergeCell ref="K7:L7"/>
    <mergeCell ref="K8:L8"/>
    <mergeCell ref="C25:D25"/>
    <mergeCell ref="K5:L5"/>
    <mergeCell ref="K6:L6"/>
    <mergeCell ref="G6:H6"/>
    <mergeCell ref="G7:H7"/>
    <mergeCell ref="G8:H8"/>
    <mergeCell ref="C8:D8"/>
    <mergeCell ref="C9:D9"/>
    <mergeCell ref="C21:D21"/>
    <mergeCell ref="C22:D22"/>
    <mergeCell ref="C18:D18"/>
    <mergeCell ref="C19:D19"/>
    <mergeCell ref="C23:D23"/>
    <mergeCell ref="C24:D24"/>
    <mergeCell ref="Y1:AB1"/>
    <mergeCell ref="Y2:Z2"/>
    <mergeCell ref="AA3:AB3"/>
    <mergeCell ref="AM3:AN3"/>
    <mergeCell ref="W3:X3"/>
    <mergeCell ref="W4:X4"/>
    <mergeCell ref="G4:H4"/>
    <mergeCell ref="G5:H5"/>
    <mergeCell ref="G3:H3"/>
    <mergeCell ref="K3:L3"/>
    <mergeCell ref="K4:L4"/>
    <mergeCell ref="A1:D1"/>
    <mergeCell ref="C4:D4"/>
    <mergeCell ref="C5:D5"/>
    <mergeCell ref="C6:D6"/>
    <mergeCell ref="A2:B2"/>
    <mergeCell ref="C20:D20"/>
    <mergeCell ref="U1:X1"/>
    <mergeCell ref="I1:L1"/>
    <mergeCell ref="Q1:T1"/>
    <mergeCell ref="AM4:AN4"/>
    <mergeCell ref="AI3:AJ3"/>
    <mergeCell ref="S3:T3"/>
    <mergeCell ref="AG1:AJ1"/>
    <mergeCell ref="E1:H1"/>
    <mergeCell ref="AK1:AN1"/>
    <mergeCell ref="AK2:AL2"/>
    <mergeCell ref="AG2:AH2"/>
    <mergeCell ref="E2:F2"/>
    <mergeCell ref="C16:D16"/>
    <mergeCell ref="C17:D17"/>
    <mergeCell ref="C10:D10"/>
    <mergeCell ref="AW1:AZ1"/>
    <mergeCell ref="AW2:AX2"/>
    <mergeCell ref="C15:D15"/>
    <mergeCell ref="AO2:AP2"/>
    <mergeCell ref="AS2:AT2"/>
    <mergeCell ref="I2:J2"/>
    <mergeCell ref="M2:N2"/>
    <mergeCell ref="Q2:R2"/>
    <mergeCell ref="U2:V2"/>
    <mergeCell ref="AC2:AD2"/>
    <mergeCell ref="C11:D11"/>
    <mergeCell ref="C12:D12"/>
    <mergeCell ref="C13:D13"/>
    <mergeCell ref="C14:D14"/>
    <mergeCell ref="C7:D7"/>
    <mergeCell ref="C3:D3"/>
    <mergeCell ref="AY3:AZ3"/>
    <mergeCell ref="AY4:AZ4"/>
    <mergeCell ref="AY5:AZ5"/>
    <mergeCell ref="AY6:AZ6"/>
    <mergeCell ref="AY7:AZ7"/>
    <mergeCell ref="AY13:AZ13"/>
    <mergeCell ref="AY14:AZ14"/>
    <mergeCell ref="AY15:AZ15"/>
    <mergeCell ref="AY8:AZ8"/>
    <mergeCell ref="AY9:AZ9"/>
    <mergeCell ref="AY10:AZ10"/>
    <mergeCell ref="AY11:AZ11"/>
    <mergeCell ref="AY12:AZ12"/>
  </mergeCells>
  <pageMargins left="0.7" right="0.7" top="0.75" bottom="0.75" header="0.3" footer="0.3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5" name="Check Box 1">
              <controlPr defaultSize="0" autoFill="0" autoLine="0" autoPict="0">
                <anchor moveWithCells="1">
                  <from>
                    <xdr:col>0</xdr:col>
                    <xdr:colOff>9525</xdr:colOff>
                    <xdr:row>2</xdr:row>
                    <xdr:rowOff>9525</xdr:rowOff>
                  </from>
                  <to>
                    <xdr:col>0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6" name="Check Box 2">
              <controlPr defaultSize="0" autoFill="0" autoLine="0" autoPict="0">
                <anchor moveWithCells="1">
                  <from>
                    <xdr:col>0</xdr:col>
                    <xdr:colOff>9525</xdr:colOff>
                    <xdr:row>3</xdr:row>
                    <xdr:rowOff>9525</xdr:rowOff>
                  </from>
                  <to>
                    <xdr:col>0</xdr:col>
                    <xdr:colOff>228600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7" name="Check Box 3">
              <controlPr defaultSize="0" autoFill="0" autoLine="0" autoPict="0">
                <anchor moveWithCells="1">
                  <from>
                    <xdr:col>0</xdr:col>
                    <xdr:colOff>9525</xdr:colOff>
                    <xdr:row>4</xdr:row>
                    <xdr:rowOff>9525</xdr:rowOff>
                  </from>
                  <to>
                    <xdr:col>0</xdr:col>
                    <xdr:colOff>228600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8" name="Check Box 4">
              <controlPr defaultSize="0" autoFill="0" autoLine="0" autoPict="0">
                <anchor moveWithCells="1">
                  <from>
                    <xdr:col>0</xdr:col>
                    <xdr:colOff>9525</xdr:colOff>
                    <xdr:row>5</xdr:row>
                    <xdr:rowOff>9525</xdr:rowOff>
                  </from>
                  <to>
                    <xdr:col>0</xdr:col>
                    <xdr:colOff>228600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9" name="Check Box 5">
              <controlPr defaultSize="0" autoFill="0" autoLine="0" autoPict="0">
                <anchor moveWithCells="1">
                  <from>
                    <xdr:col>0</xdr:col>
                    <xdr:colOff>9525</xdr:colOff>
                    <xdr:row>6</xdr:row>
                    <xdr:rowOff>9525</xdr:rowOff>
                  </from>
                  <to>
                    <xdr:col>0</xdr:col>
                    <xdr:colOff>228600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10" name="Check Box 6">
              <controlPr defaultSize="0" autoFill="0" autoLine="0" autoPict="0">
                <anchor moveWithCells="1">
                  <from>
                    <xdr:col>0</xdr:col>
                    <xdr:colOff>9525</xdr:colOff>
                    <xdr:row>7</xdr:row>
                    <xdr:rowOff>9525</xdr:rowOff>
                  </from>
                  <to>
                    <xdr:col>0</xdr:col>
                    <xdr:colOff>228600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1" name="Check Box 7">
              <controlPr defaultSize="0" autoFill="0" autoLine="0" autoPict="0">
                <anchor moveWithCells="1">
                  <from>
                    <xdr:col>0</xdr:col>
                    <xdr:colOff>9525</xdr:colOff>
                    <xdr:row>8</xdr:row>
                    <xdr:rowOff>9525</xdr:rowOff>
                  </from>
                  <to>
                    <xdr:col>0</xdr:col>
                    <xdr:colOff>228600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2" name="Check Box 8">
              <controlPr defaultSize="0" autoFill="0" autoLine="0" autoPict="0">
                <anchor moveWithCells="1">
                  <from>
                    <xdr:col>0</xdr:col>
                    <xdr:colOff>9525</xdr:colOff>
                    <xdr:row>9</xdr:row>
                    <xdr:rowOff>9525</xdr:rowOff>
                  </from>
                  <to>
                    <xdr:col>0</xdr:col>
                    <xdr:colOff>228600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3" name="Check Box 9">
              <controlPr defaultSize="0" autoFill="0" autoLine="0" autoPict="0">
                <anchor moveWithCells="1">
                  <from>
                    <xdr:col>0</xdr:col>
                    <xdr:colOff>9525</xdr:colOff>
                    <xdr:row>10</xdr:row>
                    <xdr:rowOff>9525</xdr:rowOff>
                  </from>
                  <to>
                    <xdr:col>0</xdr:col>
                    <xdr:colOff>228600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4" name="Check Box 10">
              <controlPr defaultSize="0" autoFill="0" autoLine="0" autoPict="0">
                <anchor moveWithCells="1">
                  <from>
                    <xdr:col>0</xdr:col>
                    <xdr:colOff>9525</xdr:colOff>
                    <xdr:row>11</xdr:row>
                    <xdr:rowOff>9525</xdr:rowOff>
                  </from>
                  <to>
                    <xdr:col>0</xdr:col>
                    <xdr:colOff>228600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5" name="Check Box 11">
              <controlPr defaultSize="0" autoFill="0" autoLine="0" autoPict="0">
                <anchor moveWithCells="1">
                  <from>
                    <xdr:col>0</xdr:col>
                    <xdr:colOff>9525</xdr:colOff>
                    <xdr:row>12</xdr:row>
                    <xdr:rowOff>9525</xdr:rowOff>
                  </from>
                  <to>
                    <xdr:col>0</xdr:col>
                    <xdr:colOff>228600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6" name="Check Box 12">
              <controlPr defaultSize="0" autoFill="0" autoLine="0" autoPict="0">
                <anchor moveWithCells="1">
                  <from>
                    <xdr:col>0</xdr:col>
                    <xdr:colOff>9525</xdr:colOff>
                    <xdr:row>13</xdr:row>
                    <xdr:rowOff>9525</xdr:rowOff>
                  </from>
                  <to>
                    <xdr:col>0</xdr:col>
                    <xdr:colOff>228600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7" name="Check Box 13">
              <controlPr defaultSize="0" autoFill="0" autoLine="0" autoPict="0">
                <anchor moveWithCells="1">
                  <from>
                    <xdr:col>0</xdr:col>
                    <xdr:colOff>9525</xdr:colOff>
                    <xdr:row>14</xdr:row>
                    <xdr:rowOff>9525</xdr:rowOff>
                  </from>
                  <to>
                    <xdr:col>0</xdr:col>
                    <xdr:colOff>228600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8" name="Check Box 14">
              <controlPr defaultSize="0" autoFill="0" autoLine="0" autoPict="0">
                <anchor moveWithCells="1">
                  <from>
                    <xdr:col>0</xdr:col>
                    <xdr:colOff>9525</xdr:colOff>
                    <xdr:row>15</xdr:row>
                    <xdr:rowOff>9525</xdr:rowOff>
                  </from>
                  <to>
                    <xdr:col>0</xdr:col>
                    <xdr:colOff>228600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9" name="Check Box 15">
              <controlPr defaultSize="0" autoFill="0" autoLine="0" autoPict="0">
                <anchor moveWithCells="1">
                  <from>
                    <xdr:col>0</xdr:col>
                    <xdr:colOff>9525</xdr:colOff>
                    <xdr:row>16</xdr:row>
                    <xdr:rowOff>9525</xdr:rowOff>
                  </from>
                  <to>
                    <xdr:col>0</xdr:col>
                    <xdr:colOff>228600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20" name="Check Box 16">
              <controlPr defaultSize="0" autoFill="0" autoLine="0" autoPict="0">
                <anchor moveWithCells="1">
                  <from>
                    <xdr:col>0</xdr:col>
                    <xdr:colOff>9525</xdr:colOff>
                    <xdr:row>17</xdr:row>
                    <xdr:rowOff>9525</xdr:rowOff>
                  </from>
                  <to>
                    <xdr:col>0</xdr:col>
                    <xdr:colOff>228600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1" name="Check Box 17">
              <controlPr defaultSize="0" autoFill="0" autoLine="0" autoPict="0">
                <anchor moveWithCells="1">
                  <from>
                    <xdr:col>0</xdr:col>
                    <xdr:colOff>9525</xdr:colOff>
                    <xdr:row>18</xdr:row>
                    <xdr:rowOff>9525</xdr:rowOff>
                  </from>
                  <to>
                    <xdr:col>0</xdr:col>
                    <xdr:colOff>228600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2" name="Check Box 18">
              <controlPr defaultSize="0" autoFill="0" autoLine="0" autoPict="0">
                <anchor moveWithCells="1">
                  <from>
                    <xdr:col>0</xdr:col>
                    <xdr:colOff>9525</xdr:colOff>
                    <xdr:row>19</xdr:row>
                    <xdr:rowOff>9525</xdr:rowOff>
                  </from>
                  <to>
                    <xdr:col>0</xdr:col>
                    <xdr:colOff>228600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3" name="Check Box 19">
              <controlPr defaultSize="0" autoFill="0" autoLine="0" autoPict="0">
                <anchor moveWithCells="1">
                  <from>
                    <xdr:col>0</xdr:col>
                    <xdr:colOff>9525</xdr:colOff>
                    <xdr:row>20</xdr:row>
                    <xdr:rowOff>9525</xdr:rowOff>
                  </from>
                  <to>
                    <xdr:col>0</xdr:col>
                    <xdr:colOff>228600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4" name="Check Box 20">
              <controlPr defaultSize="0" autoFill="0" autoLine="0" autoPict="0">
                <anchor moveWithCells="1">
                  <from>
                    <xdr:col>0</xdr:col>
                    <xdr:colOff>9525</xdr:colOff>
                    <xdr:row>21</xdr:row>
                    <xdr:rowOff>9525</xdr:rowOff>
                  </from>
                  <to>
                    <xdr:col>0</xdr:col>
                    <xdr:colOff>228600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9" r:id="rId25" name="Check Box 21">
              <controlPr defaultSize="0" autoFill="0" autoLine="0" autoPict="0">
                <anchor moveWithCells="1">
                  <from>
                    <xdr:col>0</xdr:col>
                    <xdr:colOff>9525</xdr:colOff>
                    <xdr:row>22</xdr:row>
                    <xdr:rowOff>9525</xdr:rowOff>
                  </from>
                  <to>
                    <xdr:col>0</xdr:col>
                    <xdr:colOff>228600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6" name="Check Box 22">
              <controlPr defaultSize="0" autoFill="0" autoLine="0" autoPict="0">
                <anchor moveWithCells="1">
                  <from>
                    <xdr:col>0</xdr:col>
                    <xdr:colOff>9525</xdr:colOff>
                    <xdr:row>23</xdr:row>
                    <xdr:rowOff>9525</xdr:rowOff>
                  </from>
                  <to>
                    <xdr:col>0</xdr:col>
                    <xdr:colOff>228600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7" name="Check Box 23">
              <controlPr defaultSize="0" autoFill="0" autoLine="0" autoPict="0">
                <anchor moveWithCells="1">
                  <from>
                    <xdr:col>0</xdr:col>
                    <xdr:colOff>9525</xdr:colOff>
                    <xdr:row>24</xdr:row>
                    <xdr:rowOff>9525</xdr:rowOff>
                  </from>
                  <to>
                    <xdr:col>0</xdr:col>
                    <xdr:colOff>228600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8" name="Check Box 24">
              <controlPr defaultSize="0" autoFill="0" autoLine="0" autoPict="0">
                <anchor mov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9" name="Check Box 25">
              <controlPr defaultSize="0" autoFill="0" autoLine="0" autoPict="0">
                <anchor moveWithCells="1">
                  <from>
                    <xdr:col>4</xdr:col>
                    <xdr:colOff>9525</xdr:colOff>
                    <xdr:row>3</xdr:row>
                    <xdr:rowOff>9525</xdr:rowOff>
                  </from>
                  <to>
                    <xdr:col>4</xdr:col>
                    <xdr:colOff>228600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30" name="Check Box 26">
              <controlPr defaultSize="0" autoFill="0" autoLine="0" autoPict="0">
                <anchor moveWithCells="1">
                  <from>
                    <xdr:col>4</xdr:col>
                    <xdr:colOff>9525</xdr:colOff>
                    <xdr:row>4</xdr:row>
                    <xdr:rowOff>9525</xdr:rowOff>
                  </from>
                  <to>
                    <xdr:col>4</xdr:col>
                    <xdr:colOff>228600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31" name="Check Box 27">
              <controlPr defaultSize="0" autoFill="0" autoLine="0" autoPict="0">
                <anchor moveWithCells="1">
                  <from>
                    <xdr:col>4</xdr:col>
                    <xdr:colOff>9525</xdr:colOff>
                    <xdr:row>5</xdr:row>
                    <xdr:rowOff>9525</xdr:rowOff>
                  </from>
                  <to>
                    <xdr:col>4</xdr:col>
                    <xdr:colOff>228600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2" name="Check Box 28">
              <controlPr defaultSize="0" autoFill="0" autoLine="0" autoPict="0">
                <anchor moveWithCells="1">
                  <from>
                    <xdr:col>4</xdr:col>
                    <xdr:colOff>9525</xdr:colOff>
                    <xdr:row>6</xdr:row>
                    <xdr:rowOff>9525</xdr:rowOff>
                  </from>
                  <to>
                    <xdr:col>4</xdr:col>
                    <xdr:colOff>228600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3" name="Check Box 29">
              <controlPr defaultSize="0" autoFill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228600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4" name="Check Box 30">
              <controlPr defaultSize="0" autoFill="0" autoLine="0" autoPict="0">
                <anchor moveWithCells="1">
                  <from>
                    <xdr:col>8</xdr:col>
                    <xdr:colOff>9525</xdr:colOff>
                    <xdr:row>7</xdr:row>
                    <xdr:rowOff>9525</xdr:rowOff>
                  </from>
                  <to>
                    <xdr:col>8</xdr:col>
                    <xdr:colOff>228600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5" name="Check Box 31">
              <controlPr defaultSize="0" autoFill="0" autoLine="0" autoPict="0">
                <anchor moveWithCells="1">
                  <from>
                    <xdr:col>8</xdr:col>
                    <xdr:colOff>9525</xdr:colOff>
                    <xdr:row>6</xdr:row>
                    <xdr:rowOff>9525</xdr:rowOff>
                  </from>
                  <to>
                    <xdr:col>8</xdr:col>
                    <xdr:colOff>228600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6" name="Check Box 32">
              <controlPr defaultSize="0" autoFill="0" autoLine="0" autoPict="0">
                <anchor moveWithCells="1">
                  <from>
                    <xdr:col>8</xdr:col>
                    <xdr:colOff>9525</xdr:colOff>
                    <xdr:row>5</xdr:row>
                    <xdr:rowOff>9525</xdr:rowOff>
                  </from>
                  <to>
                    <xdr:col>8</xdr:col>
                    <xdr:colOff>228600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7" name="Check Box 33">
              <controlPr defaultSize="0" autoFill="0" autoLine="0" autoPict="0">
                <anchor moveWithCells="1">
                  <from>
                    <xdr:col>8</xdr:col>
                    <xdr:colOff>9525</xdr:colOff>
                    <xdr:row>4</xdr:row>
                    <xdr:rowOff>9525</xdr:rowOff>
                  </from>
                  <to>
                    <xdr:col>8</xdr:col>
                    <xdr:colOff>228600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8" name="Check Box 34">
              <controlPr defaultSize="0" autoFill="0" autoLine="0" autoPict="0">
                <anchor moveWithCells="1">
                  <from>
                    <xdr:col>8</xdr:col>
                    <xdr:colOff>9525</xdr:colOff>
                    <xdr:row>3</xdr:row>
                    <xdr:rowOff>9525</xdr:rowOff>
                  </from>
                  <to>
                    <xdr:col>8</xdr:col>
                    <xdr:colOff>228600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9" name="Check Box 35">
              <controlPr defaultSize="0" autoFill="0" autoLine="0" autoPict="0">
                <anchor moveWithCells="1">
                  <from>
                    <xdr:col>8</xdr:col>
                    <xdr:colOff>9525</xdr:colOff>
                    <xdr:row>2</xdr:row>
                    <xdr:rowOff>9525</xdr:rowOff>
                  </from>
                  <to>
                    <xdr:col>8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40" name="Check Box 36">
              <controlPr defaultSize="0" autoFill="0" autoLine="0" autoPict="0">
                <anchor moveWithCells="1">
                  <from>
                    <xdr:col>12</xdr:col>
                    <xdr:colOff>9525</xdr:colOff>
                    <xdr:row>2</xdr:row>
                    <xdr:rowOff>9525</xdr:rowOff>
                  </from>
                  <to>
                    <xdr:col>12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41" name="Check Box 37">
              <controlPr defaultSize="0" autoFill="0" autoLine="0" autoPict="0">
                <anchor moveWithCells="1">
                  <from>
                    <xdr:col>12</xdr:col>
                    <xdr:colOff>9525</xdr:colOff>
                    <xdr:row>3</xdr:row>
                    <xdr:rowOff>9525</xdr:rowOff>
                  </from>
                  <to>
                    <xdr:col>12</xdr:col>
                    <xdr:colOff>228600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2" name="Check Box 38">
              <controlPr defaultSize="0" autoFill="0" autoLine="0" autoPict="0">
                <anchor moveWithCells="1">
                  <from>
                    <xdr:col>12</xdr:col>
                    <xdr:colOff>9525</xdr:colOff>
                    <xdr:row>4</xdr:row>
                    <xdr:rowOff>9525</xdr:rowOff>
                  </from>
                  <to>
                    <xdr:col>12</xdr:col>
                    <xdr:colOff>228600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3" name="Check Box 39">
              <controlPr defaultSize="0" autoFill="0" autoLine="0" autoPict="0">
                <anchor moveWithCells="1">
                  <from>
                    <xdr:col>12</xdr:col>
                    <xdr:colOff>9525</xdr:colOff>
                    <xdr:row>5</xdr:row>
                    <xdr:rowOff>9525</xdr:rowOff>
                  </from>
                  <to>
                    <xdr:col>12</xdr:col>
                    <xdr:colOff>228600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4" name="Check Box 40">
              <controlPr defaultSize="0" autoFill="0" autoLine="0" autoPict="0">
                <anchor moveWithCells="1">
                  <from>
                    <xdr:col>16</xdr:col>
                    <xdr:colOff>9525</xdr:colOff>
                    <xdr:row>2</xdr:row>
                    <xdr:rowOff>9525</xdr:rowOff>
                  </from>
                  <to>
                    <xdr:col>16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5" name="Check Box 41">
              <controlPr defaultSize="0" autoFill="0" autoLine="0" autoPict="0">
                <anchor moveWithCells="1">
                  <from>
                    <xdr:col>16</xdr:col>
                    <xdr:colOff>9525</xdr:colOff>
                    <xdr:row>3</xdr:row>
                    <xdr:rowOff>9525</xdr:rowOff>
                  </from>
                  <to>
                    <xdr:col>16</xdr:col>
                    <xdr:colOff>228600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6" name="Check Box 42">
              <controlPr defaultSize="0" autoFill="0" autoLine="0" autoPict="0">
                <anchor moveWithCells="1">
                  <from>
                    <xdr:col>16</xdr:col>
                    <xdr:colOff>9525</xdr:colOff>
                    <xdr:row>4</xdr:row>
                    <xdr:rowOff>9525</xdr:rowOff>
                  </from>
                  <to>
                    <xdr:col>16</xdr:col>
                    <xdr:colOff>228600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7" name="Check Box 43">
              <controlPr defaultSize="0" autoFill="0" autoLine="0" autoPict="0">
                <anchor moveWithCells="1">
                  <from>
                    <xdr:col>20</xdr:col>
                    <xdr:colOff>9525</xdr:colOff>
                    <xdr:row>2</xdr:row>
                    <xdr:rowOff>9525</xdr:rowOff>
                  </from>
                  <to>
                    <xdr:col>20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8" name="Check Box 44">
              <controlPr defaultSize="0" autoFill="0" autoLine="0" autoPict="0">
                <anchor moveWithCells="1">
                  <from>
                    <xdr:col>20</xdr:col>
                    <xdr:colOff>9525</xdr:colOff>
                    <xdr:row>3</xdr:row>
                    <xdr:rowOff>9525</xdr:rowOff>
                  </from>
                  <to>
                    <xdr:col>20</xdr:col>
                    <xdr:colOff>228600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9" name="Check Box 45">
              <controlPr defaultSize="0" autoFill="0" autoLine="0" autoPict="0">
                <anchor moveWithCells="1">
                  <from>
                    <xdr:col>24</xdr:col>
                    <xdr:colOff>9525</xdr:colOff>
                    <xdr:row>2</xdr:row>
                    <xdr:rowOff>9525</xdr:rowOff>
                  </from>
                  <to>
                    <xdr:col>24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50" name="Check Box 46">
              <controlPr defaultSize="0" autoFill="0" autoLine="0" autoPict="0">
                <anchor moveWithCells="1">
                  <from>
                    <xdr:col>24</xdr:col>
                    <xdr:colOff>9525</xdr:colOff>
                    <xdr:row>3</xdr:row>
                    <xdr:rowOff>9525</xdr:rowOff>
                  </from>
                  <to>
                    <xdr:col>24</xdr:col>
                    <xdr:colOff>228600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51" name="Check Box 47">
              <controlPr defaultSize="0" autoFill="0" autoLine="0" autoPict="0">
                <anchor moveWithCells="1">
                  <from>
                    <xdr:col>28</xdr:col>
                    <xdr:colOff>9525</xdr:colOff>
                    <xdr:row>2</xdr:row>
                    <xdr:rowOff>9525</xdr:rowOff>
                  </from>
                  <to>
                    <xdr:col>28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2" name="Check Box 48">
              <controlPr defaultSize="0" autoFill="0" autoLine="0" autoPict="0">
                <anchor moveWithCells="1">
                  <from>
                    <xdr:col>28</xdr:col>
                    <xdr:colOff>9525</xdr:colOff>
                    <xdr:row>3</xdr:row>
                    <xdr:rowOff>9525</xdr:rowOff>
                  </from>
                  <to>
                    <xdr:col>28</xdr:col>
                    <xdr:colOff>228600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3" name="Check Box 49">
              <controlPr defaultSize="0" autoFill="0" autoLine="0" autoPict="0">
                <anchor moveWithCells="1">
                  <from>
                    <xdr:col>32</xdr:col>
                    <xdr:colOff>9525</xdr:colOff>
                    <xdr:row>2</xdr:row>
                    <xdr:rowOff>9525</xdr:rowOff>
                  </from>
                  <to>
                    <xdr:col>32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4" name="Check Box 50">
              <controlPr defaultSize="0" autoFill="0" autoLine="0" autoPict="0">
                <anchor moveWithCells="1">
                  <from>
                    <xdr:col>32</xdr:col>
                    <xdr:colOff>9525</xdr:colOff>
                    <xdr:row>3</xdr:row>
                    <xdr:rowOff>9525</xdr:rowOff>
                  </from>
                  <to>
                    <xdr:col>32</xdr:col>
                    <xdr:colOff>228600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5" name="Check Box 51">
              <controlPr defaultSize="0" autoFill="0" autoLine="0" autoPict="0">
                <anchor moveWithCells="1">
                  <from>
                    <xdr:col>36</xdr:col>
                    <xdr:colOff>9525</xdr:colOff>
                    <xdr:row>2</xdr:row>
                    <xdr:rowOff>9525</xdr:rowOff>
                  </from>
                  <to>
                    <xdr:col>36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6" name="Check Box 52">
              <controlPr defaultSize="0" autoFill="0" autoLine="0" autoPict="0">
                <anchor moveWithCells="1">
                  <from>
                    <xdr:col>40</xdr:col>
                    <xdr:colOff>9525</xdr:colOff>
                    <xdr:row>2</xdr:row>
                    <xdr:rowOff>9525</xdr:rowOff>
                  </from>
                  <to>
                    <xdr:col>40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7" name="Check Box 53">
              <controlPr defaultSize="0" autoFill="0" autoLine="0" autoPict="0">
                <anchor moveWithCells="1">
                  <from>
                    <xdr:col>44</xdr:col>
                    <xdr:colOff>9525</xdr:colOff>
                    <xdr:row>2</xdr:row>
                    <xdr:rowOff>9525</xdr:rowOff>
                  </from>
                  <to>
                    <xdr:col>44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8" name="Check Box 54">
              <controlPr defaultSize="0" autoFill="0" autoLine="0" autoPict="0">
                <anchor moveWithCells="1">
                  <from>
                    <xdr:col>36</xdr:col>
                    <xdr:colOff>9525</xdr:colOff>
                    <xdr:row>3</xdr:row>
                    <xdr:rowOff>9525</xdr:rowOff>
                  </from>
                  <to>
                    <xdr:col>36</xdr:col>
                    <xdr:colOff>228600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9" name="Button 55">
              <controlPr defaultSize="0" print="0" autoFill="0" autoPict="0" macro="[0]!Урон_по_мобам_вкл" altText="кнопка 1">
                <anchor moveWithCells="1">
                  <from>
                    <xdr:col>2</xdr:col>
                    <xdr:colOff>9525</xdr:colOff>
                    <xdr:row>1</xdr:row>
                    <xdr:rowOff>9525</xdr:rowOff>
                  </from>
                  <to>
                    <xdr:col>2</xdr:col>
                    <xdr:colOff>600075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60" name="Button 93">
              <controlPr defaultSize="0" print="0" autoFill="0" autoPict="0" macro="[0]!Урон_по_мобам_выкл" altText="кнопка 1">
                <anchor moveWithCells="1">
                  <from>
                    <xdr:col>3</xdr:col>
                    <xdr:colOff>9525</xdr:colOff>
                    <xdr:row>1</xdr:row>
                    <xdr:rowOff>9525</xdr:rowOff>
                  </from>
                  <to>
                    <xdr:col>3</xdr:col>
                    <xdr:colOff>600075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4" r:id="rId61" name="Button 96">
              <controlPr defaultSize="0" print="0" autoFill="0" autoPict="0" macro="[0]!Урон_выкл" altText="кнопка 1">
                <anchor mov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7</xdr:col>
                    <xdr:colOff>600075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62" name="Button 97">
              <controlPr defaultSize="0" print="0" autoFill="0" autoPict="0" macro="[0]!Урон_вкл" altText="кнопка 1">
                <anchor moveWithCells="1">
                  <from>
                    <xdr:col>6</xdr:col>
                    <xdr:colOff>9525</xdr:colOff>
                    <xdr:row>1</xdr:row>
                    <xdr:rowOff>9525</xdr:rowOff>
                  </from>
                  <to>
                    <xdr:col>6</xdr:col>
                    <xdr:colOff>600075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63" name="Button 98">
              <controlPr defaultSize="0" print="0" autoFill="0" autoPict="0" macro="[0]!Защита_вкл" altText="кнопка 1">
                <anchor moveWithCells="1">
                  <from>
                    <xdr:col>10</xdr:col>
                    <xdr:colOff>9525</xdr:colOff>
                    <xdr:row>1</xdr:row>
                    <xdr:rowOff>9525</xdr:rowOff>
                  </from>
                  <to>
                    <xdr:col>10</xdr:col>
                    <xdr:colOff>600075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64" name="Button 99">
              <controlPr defaultSize="0" print="0" autoFill="0" autoPict="0" macro="[0]!Здоровье_вкл" altText="кнопка 1">
                <anchor moveWithCells="1">
                  <from>
                    <xdr:col>14</xdr:col>
                    <xdr:colOff>9525</xdr:colOff>
                    <xdr:row>1</xdr:row>
                    <xdr:rowOff>9525</xdr:rowOff>
                  </from>
                  <to>
                    <xdr:col>14</xdr:col>
                    <xdr:colOff>600075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65" name="Button 100">
              <controlPr defaultSize="0" print="0" autoFill="0" autoPict="0" macro="[0]!Эффективность_аптечек_вкл" altText="кнопка 1">
                <anchor moveWithCells="1">
                  <from>
                    <xdr:col>18</xdr:col>
                    <xdr:colOff>9525</xdr:colOff>
                    <xdr:row>1</xdr:row>
                    <xdr:rowOff>9525</xdr:rowOff>
                  </from>
                  <to>
                    <xdr:col>18</xdr:col>
                    <xdr:colOff>600075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66" name="Button 101">
              <controlPr defaultSize="0" print="0" autoFill="0" autoPict="0" macro="[0]!Снижение_урона_вкл" altText="кнопка 1">
                <anchor moveWithCells="1">
                  <from>
                    <xdr:col>22</xdr:col>
                    <xdr:colOff>9525</xdr:colOff>
                    <xdr:row>1</xdr:row>
                    <xdr:rowOff>9525</xdr:rowOff>
                  </from>
                  <to>
                    <xdr:col>22</xdr:col>
                    <xdr:colOff>600075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67" name="Button 102">
              <controlPr defaultSize="0" print="0" autoFill="0" autoPict="0" macro="[0]!Интоксикация_персонажа_вкл" altText="кнопка 1">
                <anchor moveWithCells="1">
                  <from>
                    <xdr:col>26</xdr:col>
                    <xdr:colOff>9525</xdr:colOff>
                    <xdr:row>1</xdr:row>
                    <xdr:rowOff>9525</xdr:rowOff>
                  </from>
                  <to>
                    <xdr:col>26</xdr:col>
                    <xdr:colOff>600075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68" name="Button 103">
              <controlPr defaultSize="0" print="0" autoFill="0" autoPict="0" macro="[0]!Урон_мин_гранат_вкл" altText="кнопка 1">
                <anchor moveWithCells="1">
                  <from>
                    <xdr:col>30</xdr:col>
                    <xdr:colOff>9525</xdr:colOff>
                    <xdr:row>1</xdr:row>
                    <xdr:rowOff>9525</xdr:rowOff>
                  </from>
                  <to>
                    <xdr:col>30</xdr:col>
                    <xdr:colOff>600075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69" name="Button 104">
              <controlPr defaultSize="0" print="0" autoFill="0" autoPict="0" macro="[0]!Радиус_взрыва_вкл" altText="кнопка 1">
                <anchor moveWithCells="1">
                  <from>
                    <xdr:col>34</xdr:col>
                    <xdr:colOff>9525</xdr:colOff>
                    <xdr:row>1</xdr:row>
                    <xdr:rowOff>9525</xdr:rowOff>
                  </from>
                  <to>
                    <xdr:col>34</xdr:col>
                    <xdr:colOff>600075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70" name="Button 105">
              <controlPr defaultSize="0" print="0" autoFill="0" autoPict="0" macro="[0]!Критическое_попадание_вкл" altText="кнопка 1">
                <anchor moveWithCells="1">
                  <from>
                    <xdr:col>38</xdr:col>
                    <xdr:colOff>9525</xdr:colOff>
                    <xdr:row>1</xdr:row>
                    <xdr:rowOff>9525</xdr:rowOff>
                  </from>
                  <to>
                    <xdr:col>38</xdr:col>
                    <xdr:colOff>600075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71" name="Button 106">
              <controlPr defaultSize="0" print="0" autoFill="0" autoPict="0" macro="[0]!Сопротивление_эффектам_вкл" altText="кнопка 1">
                <anchor moveWithCells="1">
                  <from>
                    <xdr:col>42</xdr:col>
                    <xdr:colOff>9525</xdr:colOff>
                    <xdr:row>1</xdr:row>
                    <xdr:rowOff>9525</xdr:rowOff>
                  </from>
                  <to>
                    <xdr:col>42</xdr:col>
                    <xdr:colOff>600075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72" name="Button 107">
              <controlPr defaultSize="0" print="0" autoFill="0" autoPict="0" macro="[0]!Эффективность_стимуляторов_вкл" altText="кнопка 1">
                <anchor moveWithCells="1">
                  <from>
                    <xdr:col>46</xdr:col>
                    <xdr:colOff>9525</xdr:colOff>
                    <xdr:row>1</xdr:row>
                    <xdr:rowOff>9525</xdr:rowOff>
                  </from>
                  <to>
                    <xdr:col>46</xdr:col>
                    <xdr:colOff>600075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73" name="Button 109">
              <controlPr defaultSize="0" print="0" autoFill="0" autoPict="0" macro="[0]!Защита_выкл" altText="кнопка 1">
                <anchor mov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11</xdr:col>
                    <xdr:colOff>600075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74" name="Button 110">
              <controlPr defaultSize="0" print="0" autoFill="0" autoPict="0" macro="[0]!Здоровье_выкл" altText="кнопка 1">
                <anchor moveWithCells="1">
                  <from>
                    <xdr:col>15</xdr:col>
                    <xdr:colOff>9525</xdr:colOff>
                    <xdr:row>1</xdr:row>
                    <xdr:rowOff>0</xdr:rowOff>
                  </from>
                  <to>
                    <xdr:col>15</xdr:col>
                    <xdr:colOff>600075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9" r:id="rId75" name="Button 111">
              <controlPr defaultSize="0" print="0" autoFill="0" autoPict="0" macro="[0]!Эффективность_аптечек_выкл" altText="кнопка 1">
                <anchor moveWithCells="1">
                  <from>
                    <xdr:col>19</xdr:col>
                    <xdr:colOff>9525</xdr:colOff>
                    <xdr:row>1</xdr:row>
                    <xdr:rowOff>0</xdr:rowOff>
                  </from>
                  <to>
                    <xdr:col>19</xdr:col>
                    <xdr:colOff>600075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76" name="Button 112">
              <controlPr defaultSize="0" print="0" autoFill="0" autoPict="0" macro="[0]!Снижение_урона_выкл" altText="кнопка 1">
                <anchor moveWithCells="1">
                  <from>
                    <xdr:col>23</xdr:col>
                    <xdr:colOff>9525</xdr:colOff>
                    <xdr:row>1</xdr:row>
                    <xdr:rowOff>0</xdr:rowOff>
                  </from>
                  <to>
                    <xdr:col>23</xdr:col>
                    <xdr:colOff>600075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77" name="Button 113">
              <controlPr defaultSize="0" print="0" autoFill="0" autoPict="0" macro="[0]!Интоксикация_персонажа_выкл" altText="кнопка 1">
                <anchor moveWithCells="1">
                  <from>
                    <xdr:col>27</xdr:col>
                    <xdr:colOff>9525</xdr:colOff>
                    <xdr:row>1</xdr:row>
                    <xdr:rowOff>0</xdr:rowOff>
                  </from>
                  <to>
                    <xdr:col>27</xdr:col>
                    <xdr:colOff>600075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2" r:id="rId78" name="Button 114">
              <controlPr defaultSize="0" print="0" autoFill="0" autoPict="0" macro="[0]!Урон_мин_гранат_выкл" altText="кнопка 1">
                <anchor moveWithCells="1">
                  <from>
                    <xdr:col>31</xdr:col>
                    <xdr:colOff>9525</xdr:colOff>
                    <xdr:row>1</xdr:row>
                    <xdr:rowOff>0</xdr:rowOff>
                  </from>
                  <to>
                    <xdr:col>31</xdr:col>
                    <xdr:colOff>600075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3" r:id="rId79" name="Button 115">
              <controlPr defaultSize="0" print="0" autoFill="0" autoPict="0" macro="[0]!Радиус_взрыва_выкл" altText="кнопка 1">
                <anchor moveWithCells="1">
                  <from>
                    <xdr:col>35</xdr:col>
                    <xdr:colOff>9525</xdr:colOff>
                    <xdr:row>1</xdr:row>
                    <xdr:rowOff>0</xdr:rowOff>
                  </from>
                  <to>
                    <xdr:col>35</xdr:col>
                    <xdr:colOff>600075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4" r:id="rId80" name="Button 116">
              <controlPr defaultSize="0" print="0" autoFill="0" autoPict="0" macro="[0]!Критическое_попадание_выкл" altText="кнопка 1">
                <anchor moveWithCells="1">
                  <from>
                    <xdr:col>39</xdr:col>
                    <xdr:colOff>9525</xdr:colOff>
                    <xdr:row>1</xdr:row>
                    <xdr:rowOff>0</xdr:rowOff>
                  </from>
                  <to>
                    <xdr:col>39</xdr:col>
                    <xdr:colOff>600075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5" r:id="rId81" name="Button 117">
              <controlPr defaultSize="0" print="0" autoFill="0" autoPict="0" macro="[0]!Сопротивление_эффектам_выкл" altText="кнопка 1">
                <anchor moveWithCells="1">
                  <from>
                    <xdr:col>43</xdr:col>
                    <xdr:colOff>9525</xdr:colOff>
                    <xdr:row>1</xdr:row>
                    <xdr:rowOff>0</xdr:rowOff>
                  </from>
                  <to>
                    <xdr:col>43</xdr:col>
                    <xdr:colOff>600075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82" name="Button 118">
              <controlPr defaultSize="0" print="0" autoFill="0" autoPict="0" macro="[0]!Эффективность_стимуляторов_выкл" altText="кнопка 1">
                <anchor moveWithCells="1">
                  <from>
                    <xdr:col>47</xdr:col>
                    <xdr:colOff>9525</xdr:colOff>
                    <xdr:row>1</xdr:row>
                    <xdr:rowOff>0</xdr:rowOff>
                  </from>
                  <to>
                    <xdr:col>47</xdr:col>
                    <xdr:colOff>600075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" r:id="rId83" name="Button 120">
              <controlPr defaultSize="0" print="0" autoFill="0" autoPict="0" macro="[0]!Скорость_по_карте_выкл" altText="кнопка 1">
                <anchor moveWithCells="1">
                  <from>
                    <xdr:col>51</xdr:col>
                    <xdr:colOff>9525</xdr:colOff>
                    <xdr:row>1</xdr:row>
                    <xdr:rowOff>0</xdr:rowOff>
                  </from>
                  <to>
                    <xdr:col>51</xdr:col>
                    <xdr:colOff>600075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" r:id="rId84" name="Check Box 122">
              <controlPr defaultSize="0" autoFill="0" autoLine="0" autoPict="0">
                <anchor moveWithCells="1">
                  <from>
                    <xdr:col>48</xdr:col>
                    <xdr:colOff>9525</xdr:colOff>
                    <xdr:row>3</xdr:row>
                    <xdr:rowOff>9525</xdr:rowOff>
                  </from>
                  <to>
                    <xdr:col>48</xdr:col>
                    <xdr:colOff>228600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" r:id="rId85" name="Check Box 123">
              <controlPr defaultSize="0" autoFill="0" autoLine="0" autoPict="0">
                <anchor moveWithCells="1">
                  <from>
                    <xdr:col>48</xdr:col>
                    <xdr:colOff>9525</xdr:colOff>
                    <xdr:row>4</xdr:row>
                    <xdr:rowOff>9525</xdr:rowOff>
                  </from>
                  <to>
                    <xdr:col>48</xdr:col>
                    <xdr:colOff>228600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" r:id="rId86" name="Check Box 124">
              <controlPr defaultSize="0" autoFill="0" autoLine="0" autoPict="0">
                <anchor moveWithCells="1">
                  <from>
                    <xdr:col>48</xdr:col>
                    <xdr:colOff>9525</xdr:colOff>
                    <xdr:row>5</xdr:row>
                    <xdr:rowOff>9525</xdr:rowOff>
                  </from>
                  <to>
                    <xdr:col>48</xdr:col>
                    <xdr:colOff>228600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" r:id="rId87" name="Check Box 125">
              <controlPr defaultSize="0" autoFill="0" autoLine="0" autoPict="0">
                <anchor moveWithCells="1">
                  <from>
                    <xdr:col>48</xdr:col>
                    <xdr:colOff>9525</xdr:colOff>
                    <xdr:row>6</xdr:row>
                    <xdr:rowOff>9525</xdr:rowOff>
                  </from>
                  <to>
                    <xdr:col>48</xdr:col>
                    <xdr:colOff>228600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8" r:id="rId88" name="Check Box 126">
              <controlPr defaultSize="0" autoFill="0" autoLine="0" autoPict="0">
                <anchor moveWithCells="1">
                  <from>
                    <xdr:col>48</xdr:col>
                    <xdr:colOff>9525</xdr:colOff>
                    <xdr:row>7</xdr:row>
                    <xdr:rowOff>9525</xdr:rowOff>
                  </from>
                  <to>
                    <xdr:col>48</xdr:col>
                    <xdr:colOff>228600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89" name="Check Box 127">
              <controlPr defaultSize="0" autoFill="0" autoLine="0" autoPict="0">
                <anchor moveWithCells="1">
                  <from>
                    <xdr:col>48</xdr:col>
                    <xdr:colOff>9525</xdr:colOff>
                    <xdr:row>8</xdr:row>
                    <xdr:rowOff>9525</xdr:rowOff>
                  </from>
                  <to>
                    <xdr:col>48</xdr:col>
                    <xdr:colOff>228600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0" name="Check Box 129">
              <controlPr defaultSize="0" autoFill="0" autoLine="0" autoPict="0">
                <anchor moveWithCells="1">
                  <from>
                    <xdr:col>48</xdr:col>
                    <xdr:colOff>9525</xdr:colOff>
                    <xdr:row>9</xdr:row>
                    <xdr:rowOff>9525</xdr:rowOff>
                  </from>
                  <to>
                    <xdr:col>48</xdr:col>
                    <xdr:colOff>228600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8" r:id="rId91" name="Check Box 130">
              <controlPr defaultSize="0" autoFill="0" autoLine="0" autoPict="0">
                <anchor moveWithCells="1">
                  <from>
                    <xdr:col>48</xdr:col>
                    <xdr:colOff>9525</xdr:colOff>
                    <xdr:row>10</xdr:row>
                    <xdr:rowOff>9525</xdr:rowOff>
                  </from>
                  <to>
                    <xdr:col>48</xdr:col>
                    <xdr:colOff>228600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2" name="Check Box 131">
              <controlPr defaultSize="0" autoFill="0" autoLine="0" autoPict="0">
                <anchor moveWithCells="1">
                  <from>
                    <xdr:col>48</xdr:col>
                    <xdr:colOff>9525</xdr:colOff>
                    <xdr:row>11</xdr:row>
                    <xdr:rowOff>9525</xdr:rowOff>
                  </from>
                  <to>
                    <xdr:col>48</xdr:col>
                    <xdr:colOff>228600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0" r:id="rId93" name="Check Box 132">
              <controlPr defaultSize="0" autoFill="0" autoLine="0" autoPict="0">
                <anchor moveWithCells="1">
                  <from>
                    <xdr:col>48</xdr:col>
                    <xdr:colOff>9525</xdr:colOff>
                    <xdr:row>12</xdr:row>
                    <xdr:rowOff>9525</xdr:rowOff>
                  </from>
                  <to>
                    <xdr:col>48</xdr:col>
                    <xdr:colOff>228600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94" name="Check Box 133">
              <controlPr defaultSize="0" autoFill="0" autoLine="0" autoPict="0">
                <anchor moveWithCells="1">
                  <from>
                    <xdr:col>48</xdr:col>
                    <xdr:colOff>9525</xdr:colOff>
                    <xdr:row>13</xdr:row>
                    <xdr:rowOff>9525</xdr:rowOff>
                  </from>
                  <to>
                    <xdr:col>48</xdr:col>
                    <xdr:colOff>228600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95" name="Check Box 134">
              <controlPr defaultSize="0" autoFill="0" autoLine="0" autoPict="0">
                <anchor moveWithCells="1">
                  <from>
                    <xdr:col>48</xdr:col>
                    <xdr:colOff>9525</xdr:colOff>
                    <xdr:row>14</xdr:row>
                    <xdr:rowOff>9525</xdr:rowOff>
                  </from>
                  <to>
                    <xdr:col>48</xdr:col>
                    <xdr:colOff>228600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96" name="Button 135">
              <controlPr defaultSize="0" print="0" autoFill="0" autoPict="0" macro="[0]!Скорость_по_карте_вкл" altText="кнопка 1">
                <anchor moveWithCells="1">
                  <from>
                    <xdr:col>50</xdr:col>
                    <xdr:colOff>9525</xdr:colOff>
                    <xdr:row>1</xdr:row>
                    <xdr:rowOff>9525</xdr:rowOff>
                  </from>
                  <to>
                    <xdr:col>50</xdr:col>
                    <xdr:colOff>600075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97" name="Check Box 136">
              <controlPr defaultSize="0" autoFill="0" autoLine="0" autoPict="0">
                <anchor moveWithCells="1">
                  <from>
                    <xdr:col>48</xdr:col>
                    <xdr:colOff>9525</xdr:colOff>
                    <xdr:row>2</xdr:row>
                    <xdr:rowOff>9525</xdr:rowOff>
                  </from>
                  <to>
                    <xdr:col>48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K39"/>
  <sheetViews>
    <sheetView showGridLines="0" topLeftCell="A22" workbookViewId="0">
      <selection activeCell="C39" sqref="C39"/>
    </sheetView>
  </sheetViews>
  <sheetFormatPr defaultRowHeight="15" x14ac:dyDescent="0.25"/>
  <cols>
    <col min="1" max="1" width="37.7109375" customWidth="1"/>
    <col min="2" max="2" width="16.85546875" customWidth="1"/>
    <col min="3" max="3" width="11.85546875" customWidth="1"/>
    <col min="5" max="5" width="24.28515625" customWidth="1"/>
    <col min="6" max="6" width="26.7109375" customWidth="1"/>
    <col min="7" max="7" width="11.85546875" customWidth="1"/>
    <col min="9" max="9" width="27.28515625" customWidth="1"/>
    <col min="10" max="10" width="19.140625" customWidth="1"/>
    <col min="11" max="11" width="11.85546875" customWidth="1"/>
  </cols>
  <sheetData>
    <row r="1" spans="1:11" x14ac:dyDescent="0.25">
      <c r="A1" s="1053" t="s">
        <v>324</v>
      </c>
      <c r="B1" s="1057" t="s">
        <v>421</v>
      </c>
      <c r="C1" s="1054" t="s">
        <v>86</v>
      </c>
      <c r="E1" s="1053" t="s">
        <v>324</v>
      </c>
      <c r="F1" s="1057" t="s">
        <v>53</v>
      </c>
      <c r="G1" s="1054" t="s">
        <v>86</v>
      </c>
      <c r="I1" s="1053" t="s">
        <v>324</v>
      </c>
      <c r="J1" s="1057" t="s">
        <v>352</v>
      </c>
      <c r="K1" s="1054" t="s">
        <v>86</v>
      </c>
    </row>
    <row r="2" spans="1:11" x14ac:dyDescent="0.25">
      <c r="A2" s="699" t="s">
        <v>687</v>
      </c>
      <c r="B2" s="1058">
        <f>IF(Ачивки!A3=TRUE,2%,0)</f>
        <v>0.02</v>
      </c>
      <c r="C2" s="1055">
        <f>Таблица_ачивки_урон_по_мобам[[#This Row],[урон по мобам]]</f>
        <v>0.02</v>
      </c>
      <c r="E2" s="699" t="s">
        <v>715</v>
      </c>
      <c r="F2" s="1058">
        <f>IF(Ачивки!E3=TRUE,1%,0)</f>
        <v>0.01</v>
      </c>
      <c r="G2" s="1055">
        <f>Таблица_ачивки_урон[[#This Row],[урон]]</f>
        <v>0.01</v>
      </c>
      <c r="I2" s="699" t="s">
        <v>712</v>
      </c>
      <c r="J2" s="1058">
        <f>IF(Ачивки!Q3=TRUE,5%,0)</f>
        <v>0.05</v>
      </c>
      <c r="K2" s="1055">
        <f>Таблица_ачивки_эффективность_аптечек[[#This Row],[эфф.апт]]</f>
        <v>0.05</v>
      </c>
    </row>
    <row r="3" spans="1:11" x14ac:dyDescent="0.25">
      <c r="A3" s="699" t="s">
        <v>688</v>
      </c>
      <c r="B3" s="1058">
        <f>IF(Ачивки!A4=TRUE,2%,0)</f>
        <v>0.02</v>
      </c>
      <c r="C3" s="1055">
        <f>Таблица_ачивки_урон_по_мобам[[#This Row],[урон по мобам]]+C2</f>
        <v>0.04</v>
      </c>
      <c r="E3" s="699" t="s">
        <v>716</v>
      </c>
      <c r="F3" s="1058">
        <f>IF(Ачивки!E4=TRUE,1%,0)</f>
        <v>0</v>
      </c>
      <c r="G3" s="1055">
        <f>Таблица_ачивки_урон[[#This Row],[урон]]+G2</f>
        <v>0.01</v>
      </c>
      <c r="I3" s="699" t="s">
        <v>727</v>
      </c>
      <c r="J3" s="1058">
        <f>IF(Ачивки!Q4=TRUE,5%,0)</f>
        <v>0.05</v>
      </c>
      <c r="K3" s="1055">
        <f>Таблица_ачивки_эффективность_аптечек[[#This Row],[эфф.апт]]+K2</f>
        <v>0.1</v>
      </c>
    </row>
    <row r="4" spans="1:11" x14ac:dyDescent="0.25">
      <c r="A4" s="699" t="s">
        <v>685</v>
      </c>
      <c r="B4" s="1058">
        <f>IF(Ачивки!A5=TRUE,1%,0)</f>
        <v>0.01</v>
      </c>
      <c r="C4" s="1055">
        <f>Таблица_ачивки_урон_по_мобам[[#This Row],[урон по мобам]]+C3</f>
        <v>0.05</v>
      </c>
      <c r="E4" s="699" t="s">
        <v>717</v>
      </c>
      <c r="F4" s="1058">
        <f>IF(Ачивки!E5=TRUE,1%,0)</f>
        <v>0.01</v>
      </c>
      <c r="G4" s="1055">
        <f>Таблица_ачивки_урон[[#This Row],[урон]]+G3</f>
        <v>0.02</v>
      </c>
      <c r="I4" s="767" t="s">
        <v>737</v>
      </c>
      <c r="J4" s="1059">
        <f>IF(Ачивки!Q5=TRUE,5%,0)</f>
        <v>0</v>
      </c>
      <c r="K4" s="1055">
        <f>Таблица_ачивки_эффективность_аптечек[[#This Row],[эфф.апт]]+K3</f>
        <v>0.1</v>
      </c>
    </row>
    <row r="5" spans="1:11" x14ac:dyDescent="0.25">
      <c r="A5" s="699" t="s">
        <v>689</v>
      </c>
      <c r="B5" s="1058">
        <f>IF(Ачивки!A6=TRUE,1%,0)</f>
        <v>0.01</v>
      </c>
      <c r="C5" s="1055">
        <f>Таблица_ачивки_урон_по_мобам[[#This Row],[урон по мобам]]+C4</f>
        <v>6.0000000000000005E-2</v>
      </c>
      <c r="E5" s="699" t="s">
        <v>718</v>
      </c>
      <c r="F5" s="1058">
        <f>IF(Ачивки!E6=TRUE,1%,0)</f>
        <v>0.01</v>
      </c>
      <c r="G5" s="1055">
        <f>Таблица_ачивки_урон[[#This Row],[урон]]+G4</f>
        <v>0.03</v>
      </c>
    </row>
    <row r="6" spans="1:11" x14ac:dyDescent="0.25">
      <c r="A6" s="699" t="s">
        <v>690</v>
      </c>
      <c r="B6" s="1058">
        <f>IF(Ачивки!A7=TRUE,1%,0)</f>
        <v>0.01</v>
      </c>
      <c r="C6" s="1055">
        <f>Таблица_ачивки_урон_по_мобам[[#This Row],[урон по мобам]]+C5</f>
        <v>7.0000000000000007E-2</v>
      </c>
      <c r="E6" s="699" t="s">
        <v>744</v>
      </c>
      <c r="F6" s="1058">
        <f>IF(Ачивки!E7=TRUE,1%,0)</f>
        <v>0.01</v>
      </c>
      <c r="G6" s="1055">
        <f>Таблица_ачивки_урон[[#This Row],[урон]]+G5</f>
        <v>0.04</v>
      </c>
      <c r="I6" s="1053" t="s">
        <v>324</v>
      </c>
      <c r="J6" s="1057" t="s">
        <v>747</v>
      </c>
      <c r="K6" s="1054" t="s">
        <v>86</v>
      </c>
    </row>
    <row r="7" spans="1:11" x14ac:dyDescent="0.25">
      <c r="A7" s="699" t="s">
        <v>691</v>
      </c>
      <c r="B7" s="1058">
        <f>IF(Ачивки!A8=TRUE,1%,0)</f>
        <v>0.01</v>
      </c>
      <c r="C7" s="1055">
        <f>Таблица_ачивки_урон_по_мобам[[#This Row],[урон по мобам]]+C6</f>
        <v>0.08</v>
      </c>
      <c r="E7" s="767" t="s">
        <v>743</v>
      </c>
      <c r="F7" s="1058">
        <f>IF(Ачивки!E8=TRUE,1%,0)</f>
        <v>0.01</v>
      </c>
      <c r="G7" s="1055">
        <f>Таблица_ачивки_урон[[#This Row],[урон]]+G6</f>
        <v>0.05</v>
      </c>
      <c r="I7" s="699" t="s">
        <v>722</v>
      </c>
      <c r="J7" s="1058">
        <f>IF(Ачивки!U3=TRUE,1%,0)</f>
        <v>0.01</v>
      </c>
      <c r="K7" s="1055">
        <f>Таблица_ачивки_снижение_урона[[#This Row],[сниж. Урона]]</f>
        <v>0.01</v>
      </c>
    </row>
    <row r="8" spans="1:11" x14ac:dyDescent="0.25">
      <c r="A8" s="699" t="s">
        <v>692</v>
      </c>
      <c r="B8" s="1058">
        <f>IF(Ачивки!A9=TRUE,1%,0)</f>
        <v>0.01</v>
      </c>
      <c r="C8" s="1055">
        <f>Таблица_ачивки_урон_по_мобам[[#This Row],[урон по мобам]]+C7</f>
        <v>0.09</v>
      </c>
      <c r="I8" s="767" t="s">
        <v>723</v>
      </c>
      <c r="J8" s="1059">
        <f>IF(Ачивки!U4=TRUE,1%,0)</f>
        <v>0.01</v>
      </c>
      <c r="K8" s="1056">
        <f>Таблица_ачивки_снижение_урона[[#This Row],[сниж. Урона]]+K7</f>
        <v>0.02</v>
      </c>
    </row>
    <row r="9" spans="1:11" x14ac:dyDescent="0.25">
      <c r="A9" s="699" t="s">
        <v>693</v>
      </c>
      <c r="B9" s="1058">
        <f>IF(Ачивки!A10=TRUE,1%,0)</f>
        <v>0.01</v>
      </c>
      <c r="C9" s="1055">
        <f>Таблица_ачивки_урон_по_мобам[[#This Row],[урон по мобам]]+C8</f>
        <v>9.9999999999999992E-2</v>
      </c>
      <c r="E9" s="1053" t="s">
        <v>324</v>
      </c>
      <c r="F9" s="1057" t="s">
        <v>1</v>
      </c>
      <c r="G9" s="1054" t="s">
        <v>89</v>
      </c>
    </row>
    <row r="10" spans="1:11" x14ac:dyDescent="0.25">
      <c r="A10" s="699" t="s">
        <v>694</v>
      </c>
      <c r="B10" s="1058">
        <f>IF(Ачивки!A11=TRUE,1%,0)</f>
        <v>0.01</v>
      </c>
      <c r="C10" s="1055">
        <f>Таблица_ачивки_урон_по_мобам[[#This Row],[урон по мобам]]+C9</f>
        <v>0.10999999999999999</v>
      </c>
      <c r="E10" s="699" t="s">
        <v>726</v>
      </c>
      <c r="F10" s="1058">
        <f>IF(Ачивки!I3=TRUE,1%,0)</f>
        <v>0.01</v>
      </c>
      <c r="G10" s="1055">
        <f>Таблица_ачивки_защита[[#This Row],[защита]]</f>
        <v>0.01</v>
      </c>
      <c r="I10" s="1053" t="s">
        <v>324</v>
      </c>
      <c r="J10" s="1057" t="s">
        <v>132</v>
      </c>
      <c r="K10" s="1054" t="s">
        <v>86</v>
      </c>
    </row>
    <row r="11" spans="1:11" x14ac:dyDescent="0.25">
      <c r="A11" s="699" t="s">
        <v>695</v>
      </c>
      <c r="B11" s="1058">
        <f>IF(Ачивки!A12=TRUE,1%,0)</f>
        <v>0.01</v>
      </c>
      <c r="C11" s="1055">
        <f>Таблица_ачивки_урон_по_мобам[[#This Row],[урон по мобам]]+C10</f>
        <v>0.11999999999999998</v>
      </c>
      <c r="E11" s="699" t="s">
        <v>728</v>
      </c>
      <c r="F11" s="1058">
        <f>IF(Ачивки!I4=TRUE,1%,0)</f>
        <v>0.01</v>
      </c>
      <c r="G11" s="1055">
        <f>Таблица_ачивки_защита[[#This Row],[защита]]+G10</f>
        <v>0.02</v>
      </c>
      <c r="I11" s="699" t="s">
        <v>714</v>
      </c>
      <c r="J11" s="93">
        <f>IF(Ачивки!Y3=TRUE,1,0)</f>
        <v>1</v>
      </c>
      <c r="K11" s="558">
        <f>Таблица_ачивки_интоксикация_персонажа[[#This Row],[интоксикация]]</f>
        <v>1</v>
      </c>
    </row>
    <row r="12" spans="1:11" x14ac:dyDescent="0.25">
      <c r="A12" s="699" t="s">
        <v>696</v>
      </c>
      <c r="B12" s="1058">
        <f>IF(Ачивки!A13=TRUE,1%,0)</f>
        <v>0.01</v>
      </c>
      <c r="C12" s="1055">
        <f>Таблица_ачивки_урон_по_мобам[[#This Row],[урон по мобам]]+C11</f>
        <v>0.12999999999999998</v>
      </c>
      <c r="E12" s="699" t="s">
        <v>729</v>
      </c>
      <c r="F12" s="1058">
        <f>IF(Ачивки!I5=TRUE,1%,0)</f>
        <v>0.01</v>
      </c>
      <c r="G12" s="1055">
        <f>Таблица_ачивки_защита[[#This Row],[защита]]+G11</f>
        <v>0.03</v>
      </c>
      <c r="I12" s="767" t="s">
        <v>739</v>
      </c>
      <c r="J12" s="768">
        <f>IF(Ачивки!Y4=TRUE,1,0)</f>
        <v>0</v>
      </c>
      <c r="K12" s="1061">
        <f>Таблица_ачивки_интоксикация_персонажа[[#This Row],[интоксикация]]+K11</f>
        <v>1</v>
      </c>
    </row>
    <row r="13" spans="1:11" x14ac:dyDescent="0.25">
      <c r="A13" s="699" t="s">
        <v>697</v>
      </c>
      <c r="B13" s="1058">
        <f>IF(Ачивки!A14=TRUE,1%,0)</f>
        <v>0.01</v>
      </c>
      <c r="C13" s="1055">
        <f>Таблица_ачивки_урон_по_мобам[[#This Row],[урон по мобам]]+C12</f>
        <v>0.13999999999999999</v>
      </c>
      <c r="E13" s="699" t="s">
        <v>730</v>
      </c>
      <c r="F13" s="1058">
        <f>IF(Ачивки!I6=TRUE,1%,0)</f>
        <v>0.01</v>
      </c>
      <c r="G13" s="1055">
        <f>Таблица_ачивки_защита[[#This Row],[защита]]+G12</f>
        <v>0.04</v>
      </c>
    </row>
    <row r="14" spans="1:11" x14ac:dyDescent="0.25">
      <c r="A14" s="699" t="s">
        <v>698</v>
      </c>
      <c r="B14" s="1058">
        <f>IF(Ачивки!A15=TRUE,1%,0)</f>
        <v>0.01</v>
      </c>
      <c r="C14" s="1055">
        <f>Таблица_ачивки_урон_по_мобам[[#This Row],[урон по мобам]]+C13</f>
        <v>0.15</v>
      </c>
      <c r="E14" s="699" t="s">
        <v>732</v>
      </c>
      <c r="F14" s="1058">
        <f>IF(Ачивки!I7=TRUE,1%,0)</f>
        <v>0.01</v>
      </c>
      <c r="G14" s="1055">
        <f>Таблица_ачивки_защита[[#This Row],[защита]]+G13</f>
        <v>0.05</v>
      </c>
      <c r="I14" s="1053" t="s">
        <v>324</v>
      </c>
      <c r="J14" s="1064" t="s">
        <v>748</v>
      </c>
      <c r="K14" s="1065" t="s">
        <v>86</v>
      </c>
    </row>
    <row r="15" spans="1:11" x14ac:dyDescent="0.25">
      <c r="A15" s="699" t="s">
        <v>699</v>
      </c>
      <c r="B15" s="1058">
        <f>IF(Ачивки!A16=TRUE,1%,0)</f>
        <v>0.01</v>
      </c>
      <c r="C15" s="1055">
        <f>Таблица_ачивки_урон_по_мобам[[#This Row],[урон по мобам]]+C14</f>
        <v>0.16</v>
      </c>
      <c r="E15" s="767" t="s">
        <v>733</v>
      </c>
      <c r="F15" s="1058">
        <f>IF(Ачивки!I8=TRUE,1%,0)</f>
        <v>0.01</v>
      </c>
      <c r="G15" s="1055">
        <f>Таблица_ачивки_защита[[#This Row],[защита]]+G14</f>
        <v>6.0000000000000005E-2</v>
      </c>
      <c r="I15" s="1062" t="s">
        <v>720</v>
      </c>
      <c r="J15" s="1066">
        <f>IF(Ачивки!AC3=TRUE,5%,0)</f>
        <v>0.05</v>
      </c>
      <c r="K15" s="1067">
        <f>Таблица_ачивки_урон_мин_гранат[[#This Row],[урон мин гранат]]</f>
        <v>0.05</v>
      </c>
    </row>
    <row r="16" spans="1:11" x14ac:dyDescent="0.25">
      <c r="A16" s="699" t="s">
        <v>700</v>
      </c>
      <c r="B16" s="1058">
        <f>IF(Ачивки!A17=TRUE,1%,0)</f>
        <v>0.01</v>
      </c>
      <c r="C16" s="1055">
        <f>Таблица_ачивки_урон_по_мобам[[#This Row],[урон по мобам]]+C15</f>
        <v>0.17</v>
      </c>
      <c r="I16" s="1063" t="s">
        <v>738</v>
      </c>
      <c r="J16" s="1068">
        <f>IF(Ачивки!AC4=TRUE,5%,0)</f>
        <v>0</v>
      </c>
      <c r="K16" s="1069">
        <f>Таблица_ачивки_урон_мин_гранат[[#This Row],[урон мин гранат]]</f>
        <v>0</v>
      </c>
    </row>
    <row r="17" spans="1:11" x14ac:dyDescent="0.25">
      <c r="A17" s="699" t="s">
        <v>701</v>
      </c>
      <c r="B17" s="1058">
        <f>IF(Ачивки!A18=TRUE,1%,0)</f>
        <v>0.01</v>
      </c>
      <c r="C17" s="1055">
        <f>Таблица_ачивки_урон_по_мобам[[#This Row],[урон по мобам]]+C16</f>
        <v>0.18000000000000002</v>
      </c>
      <c r="E17" s="1053" t="s">
        <v>324</v>
      </c>
      <c r="F17" s="1057" t="s">
        <v>278</v>
      </c>
      <c r="G17" s="1054" t="s">
        <v>89</v>
      </c>
    </row>
    <row r="18" spans="1:11" x14ac:dyDescent="0.25">
      <c r="A18" s="699" t="s">
        <v>702</v>
      </c>
      <c r="B18" s="1058">
        <f>IF(Ачивки!A19=TRUE,1%,0)</f>
        <v>0.01</v>
      </c>
      <c r="C18" s="1055">
        <f>Таблица_ачивки_урон_по_мобам[[#This Row],[урон по мобам]]+C17</f>
        <v>0.19000000000000003</v>
      </c>
      <c r="E18" s="699" t="s">
        <v>731</v>
      </c>
      <c r="F18" s="93">
        <f>IF(Ачивки!M3=TRUE,1,0)</f>
        <v>1</v>
      </c>
      <c r="G18" s="558">
        <f>Таблица_ачивки_здоровье[[#This Row],[Здоровье]]</f>
        <v>1</v>
      </c>
      <c r="I18" s="1053" t="s">
        <v>324</v>
      </c>
      <c r="J18" s="1057" t="s">
        <v>646</v>
      </c>
      <c r="K18" s="1054" t="s">
        <v>86</v>
      </c>
    </row>
    <row r="19" spans="1:11" x14ac:dyDescent="0.25">
      <c r="A19" s="699" t="s">
        <v>703</v>
      </c>
      <c r="B19" s="1058">
        <f>IF(Ачивки!A20=TRUE,1%,0)</f>
        <v>0.01</v>
      </c>
      <c r="C19" s="1055">
        <f>Таблица_ачивки_урон_по_мобам[[#This Row],[урон по мобам]]+C18</f>
        <v>0.20000000000000004</v>
      </c>
      <c r="E19" s="699" t="s">
        <v>745</v>
      </c>
      <c r="F19" s="93">
        <f>IF(Ачивки!M4=TRUE,1,0)</f>
        <v>1</v>
      </c>
      <c r="G19" s="558">
        <f>Таблица_ачивки_здоровье[[#This Row],[Здоровье]]+G18</f>
        <v>2</v>
      </c>
      <c r="I19" s="699" t="s">
        <v>711</v>
      </c>
      <c r="J19" s="93">
        <f>IF(Ачивки!AG3=TRUE,0.5,0)</f>
        <v>0.5</v>
      </c>
      <c r="K19" s="558">
        <f>Таблица_ачивки_радиус_взрыва[[#This Row],[радиус взрыва]]</f>
        <v>0.5</v>
      </c>
    </row>
    <row r="20" spans="1:11" x14ac:dyDescent="0.25">
      <c r="A20" s="699" t="s">
        <v>704</v>
      </c>
      <c r="B20" s="1058">
        <f>IF(Ачивки!A21=TRUE,1%,0)</f>
        <v>0.01</v>
      </c>
      <c r="C20" s="1055">
        <f>Таблица_ачивки_урон_по_мобам[[#This Row],[урон по мобам]]+C19</f>
        <v>0.21000000000000005</v>
      </c>
      <c r="E20" s="699" t="s">
        <v>740</v>
      </c>
      <c r="F20" s="93">
        <f>IF(Ачивки!M5=TRUE,1,0)</f>
        <v>0</v>
      </c>
      <c r="G20" s="558">
        <f>Таблица_ачивки_здоровье[[#This Row],[Здоровье]]+G19</f>
        <v>2</v>
      </c>
      <c r="I20" s="767" t="s">
        <v>742</v>
      </c>
      <c r="J20" s="768">
        <f>IF(Ачивки!AG4=TRUE,0.5,0)</f>
        <v>0</v>
      </c>
      <c r="K20" s="1061">
        <f>Таблица_ачивки_радиус_взрыва[[#This Row],[радиус взрыва]]+K19</f>
        <v>0.5</v>
      </c>
    </row>
    <row r="21" spans="1:11" x14ac:dyDescent="0.25">
      <c r="A21" s="699" t="s">
        <v>705</v>
      </c>
      <c r="B21" s="1058">
        <f>IF(Ачивки!A22=TRUE,1%,0)</f>
        <v>0.01</v>
      </c>
      <c r="C21" s="1055">
        <f>Таблица_ачивки_урон_по_мобам[[#This Row],[урон по мобам]]+C20</f>
        <v>0.22000000000000006</v>
      </c>
      <c r="E21" s="767" t="s">
        <v>741</v>
      </c>
      <c r="F21" s="768">
        <f>IF(Ачивки!M6=TRUE,5,0)</f>
        <v>0</v>
      </c>
      <c r="G21" s="558">
        <f>Таблица_ачивки_здоровье[[#This Row],[Здоровье]]+G20</f>
        <v>2</v>
      </c>
    </row>
    <row r="22" spans="1:11" x14ac:dyDescent="0.25">
      <c r="A22" s="699" t="s">
        <v>707</v>
      </c>
      <c r="B22" s="1058">
        <f>IF(Ачивки!A23=TRUE,2%,0)</f>
        <v>0.02</v>
      </c>
      <c r="C22" s="1055">
        <f>Таблица_ачивки_урон_по_мобам[[#This Row],[урон по мобам]]+C21</f>
        <v>0.24000000000000005</v>
      </c>
      <c r="I22" s="1053" t="s">
        <v>324</v>
      </c>
      <c r="J22" s="1057" t="s">
        <v>753</v>
      </c>
      <c r="K22" s="1054" t="s">
        <v>86</v>
      </c>
    </row>
    <row r="23" spans="1:11" x14ac:dyDescent="0.25">
      <c r="A23" s="699" t="s">
        <v>708</v>
      </c>
      <c r="B23" s="1058">
        <f>IF(Ачивки!A24=TRUE,3%,0)</f>
        <v>0.03</v>
      </c>
      <c r="C23" s="1055">
        <f>Таблица_ачивки_урон_по_мобам[[#This Row],[урон по мобам]]+C22</f>
        <v>0.27</v>
      </c>
      <c r="E23" s="1053" t="s">
        <v>324</v>
      </c>
      <c r="F23" s="1057" t="s">
        <v>754</v>
      </c>
      <c r="G23" s="1054" t="s">
        <v>86</v>
      </c>
      <c r="I23" s="1532" t="s">
        <v>721</v>
      </c>
      <c r="J23" s="1058">
        <f>IF(Ачивки!AK3=TRUE,5%,0)</f>
        <v>0.05</v>
      </c>
      <c r="K23" s="1055">
        <f>Таблица_ачивки_критическое_попадание[[#This Row],[критическое поп.]]</f>
        <v>0.05</v>
      </c>
    </row>
    <row r="24" spans="1:11" x14ac:dyDescent="0.25">
      <c r="A24" s="767" t="s">
        <v>734</v>
      </c>
      <c r="B24" s="1059">
        <f>IF(Ачивки!A25=TRUE,10%,0)</f>
        <v>0</v>
      </c>
      <c r="C24" s="1056">
        <f>Таблица_ачивки_урон_по_мобам[[#This Row],[урон по мобам]]+C23</f>
        <v>0.27</v>
      </c>
      <c r="E24" s="767" t="s">
        <v>725</v>
      </c>
      <c r="F24" s="768">
        <f>IF(Ачивки!AO3=TRUE,15,0)</f>
        <v>15</v>
      </c>
      <c r="G24" s="1061">
        <f>Таблица_ачивики_сопротивление_эффектам[сопротивление эффектам]</f>
        <v>15</v>
      </c>
      <c r="I24" s="1527" t="s">
        <v>710</v>
      </c>
      <c r="J24" s="1059">
        <f>IF(Ачивки!AK4=TRUE,5%,0)</f>
        <v>0.05</v>
      </c>
      <c r="K24" s="1056">
        <f>Таблица_ачивки_критическое_попадание[[#This Row],[критическое поп.]]+K23</f>
        <v>0.1</v>
      </c>
    </row>
    <row r="26" spans="1:11" x14ac:dyDescent="0.25">
      <c r="A26" s="1053" t="s">
        <v>324</v>
      </c>
      <c r="B26" s="1586" t="s">
        <v>417</v>
      </c>
      <c r="C26" s="1054" t="s">
        <v>86</v>
      </c>
      <c r="E26" s="1053" t="s">
        <v>324</v>
      </c>
      <c r="F26" s="1057" t="s">
        <v>755</v>
      </c>
      <c r="G26" s="1054" t="s">
        <v>86</v>
      </c>
    </row>
    <row r="27" spans="1:11" x14ac:dyDescent="0.25">
      <c r="A27" s="43" t="s">
        <v>923</v>
      </c>
      <c r="B27" s="1372">
        <f>IF(Ачивки!AW3=TRUE,1%,0)</f>
        <v>0.01</v>
      </c>
      <c r="C27" s="1372">
        <f>Таблица_ачивок_скорость_по_карте[[#This Row],[Скорость по карте]]</f>
        <v>0.01</v>
      </c>
      <c r="E27" s="767" t="s">
        <v>736</v>
      </c>
      <c r="F27" s="1059">
        <f>IF(Ачивки!AS3=TRUE,1%,0)</f>
        <v>0</v>
      </c>
      <c r="G27" s="1056">
        <f>Таблица_ачивки_эффективность_стимуляторов[эфф. Стимуляторов]</f>
        <v>0</v>
      </c>
    </row>
    <row r="28" spans="1:11" x14ac:dyDescent="0.25">
      <c r="A28" s="43" t="s">
        <v>924</v>
      </c>
      <c r="B28" s="1372">
        <f>IF(Ачивки!AW4=TRUE,1%,0)</f>
        <v>0.01</v>
      </c>
      <c r="C28" s="1372">
        <f>Таблица_ачивок_скорость_по_карте[[#This Row],[Скорость по карте]]+C27</f>
        <v>0.02</v>
      </c>
    </row>
    <row r="29" spans="1:11" x14ac:dyDescent="0.25">
      <c r="A29" s="43" t="s">
        <v>925</v>
      </c>
      <c r="B29" s="1372">
        <f>IF(Ачивки!AW5=TRUE,1%,0)</f>
        <v>0.01</v>
      </c>
      <c r="C29" s="1372">
        <f>Таблица_ачивок_скорость_по_карте[[#This Row],[Скорость по карте]]+C28</f>
        <v>0.03</v>
      </c>
    </row>
    <row r="30" spans="1:11" x14ac:dyDescent="0.25">
      <c r="A30" s="43" t="s">
        <v>926</v>
      </c>
      <c r="B30" s="1372">
        <f>IF(Ачивки!AW6=TRUE,1%,0)</f>
        <v>0.01</v>
      </c>
      <c r="C30" s="1372">
        <f>Таблица_ачивок_скорость_по_карте[[#This Row],[Скорость по карте]]+C29</f>
        <v>0.04</v>
      </c>
    </row>
    <row r="31" spans="1:11" x14ac:dyDescent="0.25">
      <c r="A31" s="43" t="s">
        <v>927</v>
      </c>
      <c r="B31" s="1372">
        <f>IF(Ачивки!AW7=TRUE,2%,0)</f>
        <v>0.02</v>
      </c>
      <c r="C31" s="1372">
        <f>Таблица_ачивок_скорость_по_карте[[#This Row],[Скорость по карте]]+C30</f>
        <v>0.06</v>
      </c>
    </row>
    <row r="32" spans="1:11" x14ac:dyDescent="0.25">
      <c r="A32" s="43" t="s">
        <v>928</v>
      </c>
      <c r="B32" s="1372">
        <f>IF(Ачивки!AW8=TRUE,2%,0)</f>
        <v>0.02</v>
      </c>
      <c r="C32" s="1372">
        <f>Таблица_ачивок_скорость_по_карте[[#This Row],[Скорость по карте]]+C31</f>
        <v>0.08</v>
      </c>
    </row>
    <row r="33" spans="1:3" x14ac:dyDescent="0.25">
      <c r="A33" s="43" t="s">
        <v>929</v>
      </c>
      <c r="B33" s="1372">
        <f>IF(Ачивки!AW9=TRUE,3%,0)</f>
        <v>0.03</v>
      </c>
      <c r="C33" s="1372">
        <f>Таблица_ачивок_скорость_по_карте[[#This Row],[Скорость по карте]]+C32</f>
        <v>0.11</v>
      </c>
    </row>
    <row r="34" spans="1:3" x14ac:dyDescent="0.25">
      <c r="A34" s="43" t="s">
        <v>930</v>
      </c>
      <c r="B34" s="1372">
        <f>IF(Ачивки!AW10=TRUE,1%,0)</f>
        <v>0.01</v>
      </c>
      <c r="C34" s="1372">
        <f>Таблица_ачивок_скорость_по_карте[[#This Row],[Скорость по карте]]+C33</f>
        <v>0.12</v>
      </c>
    </row>
    <row r="35" spans="1:3" x14ac:dyDescent="0.25">
      <c r="A35" s="43" t="s">
        <v>931</v>
      </c>
      <c r="B35" s="1372">
        <f>IF(Ачивки!AW11=TRUE,2%,0)</f>
        <v>0.02</v>
      </c>
      <c r="C35" s="1372">
        <f>Таблица_ачивок_скорость_по_карте[[#This Row],[Скорость по карте]]+C34</f>
        <v>0.13999999999999999</v>
      </c>
    </row>
    <row r="36" spans="1:3" x14ac:dyDescent="0.25">
      <c r="A36" s="43" t="s">
        <v>932</v>
      </c>
      <c r="B36" s="1372">
        <f>IF(Ачивки!AW12=TRUE,1%,0)</f>
        <v>0.01</v>
      </c>
      <c r="C36" s="1372">
        <f>Таблица_ачивок_скорость_по_карте[[#This Row],[Скорость по карте]]+C35</f>
        <v>0.15</v>
      </c>
    </row>
    <row r="37" spans="1:3" x14ac:dyDescent="0.25">
      <c r="A37" s="43" t="s">
        <v>933</v>
      </c>
      <c r="B37" s="1372">
        <f>IF(Ачивки!AW13=TRUE,2%,0)</f>
        <v>0.02</v>
      </c>
      <c r="C37" s="1372">
        <f>Таблица_ачивок_скорость_по_карте[[#This Row],[Скорость по карте]]+C36</f>
        <v>0.16999999999999998</v>
      </c>
    </row>
    <row r="38" spans="1:3" x14ac:dyDescent="0.25">
      <c r="A38" s="43" t="s">
        <v>934</v>
      </c>
      <c r="B38" s="1372">
        <f>IF(Ачивки!AW14=TRUE,1%,0)</f>
        <v>0.01</v>
      </c>
      <c r="C38" s="1372">
        <f>Таблица_ачивок_скорость_по_карте[[#This Row],[Скорость по карте]]+C37</f>
        <v>0.18</v>
      </c>
    </row>
    <row r="39" spans="1:3" x14ac:dyDescent="0.25">
      <c r="A39" s="43" t="s">
        <v>935</v>
      </c>
      <c r="B39" s="1372">
        <f>IF(Ачивки!AW15=TRUE,2%,0)</f>
        <v>0.02</v>
      </c>
      <c r="C39" s="1372">
        <f>Таблица_ачивок_скорость_по_карте[[#This Row],[Скорость по карте]]+C38</f>
        <v>0.19999999999999998</v>
      </c>
    </row>
  </sheetData>
  <pageMargins left="0.7" right="0.7" top="0.75" bottom="0.75" header="0.3" footer="0.3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0"/>
  <dimension ref="A1:Q83"/>
  <sheetViews>
    <sheetView showGridLines="0" zoomScale="90" zoomScaleNormal="90" workbookViewId="0">
      <selection activeCell="O8" sqref="O8"/>
    </sheetView>
  </sheetViews>
  <sheetFormatPr defaultColWidth="12.85546875" defaultRowHeight="22.5" customHeight="1" x14ac:dyDescent="0.2"/>
  <cols>
    <col min="1" max="1" width="12.85546875" style="19" customWidth="1"/>
    <col min="2" max="4" width="12.85546875" style="19"/>
    <col min="5" max="5" width="12.85546875" style="19" customWidth="1"/>
    <col min="6" max="16384" width="12.85546875" style="19"/>
  </cols>
  <sheetData>
    <row r="1" spans="1:17" ht="16.5" customHeight="1" x14ac:dyDescent="0.2">
      <c r="A1" s="1757" t="s">
        <v>779</v>
      </c>
      <c r="B1" s="1758"/>
      <c r="C1" s="1759"/>
      <c r="E1" s="1767" t="s">
        <v>356</v>
      </c>
      <c r="F1" s="1768"/>
      <c r="G1" s="1768"/>
      <c r="H1" s="1768"/>
      <c r="I1" s="1768"/>
      <c r="J1" s="1768"/>
      <c r="K1" s="1768"/>
      <c r="L1" s="1768"/>
      <c r="M1" s="1768"/>
      <c r="N1" s="1769"/>
    </row>
    <row r="2" spans="1:17" ht="16.5" customHeight="1" x14ac:dyDescent="0.2">
      <c r="A2" s="1760"/>
      <c r="B2" s="1761"/>
      <c r="C2" s="1762"/>
      <c r="D2" s="1"/>
      <c r="E2" s="1770"/>
      <c r="F2" s="1771"/>
      <c r="G2" s="1771"/>
      <c r="H2" s="1771"/>
      <c r="I2" s="1771"/>
      <c r="J2" s="1771"/>
      <c r="K2" s="1771"/>
      <c r="L2" s="1771"/>
      <c r="M2" s="1771"/>
      <c r="N2" s="1772"/>
    </row>
    <row r="3" spans="1:17" ht="16.5" customHeight="1" x14ac:dyDescent="0.2">
      <c r="A3" s="1774" t="s">
        <v>772</v>
      </c>
      <c r="B3" s="1775" t="s">
        <v>772</v>
      </c>
      <c r="C3" s="1763" t="s">
        <v>772</v>
      </c>
      <c r="E3" s="1765" t="s">
        <v>772</v>
      </c>
      <c r="F3" s="1765" t="s">
        <v>772</v>
      </c>
      <c r="G3" s="1765" t="s">
        <v>772</v>
      </c>
      <c r="H3" s="1765" t="s">
        <v>772</v>
      </c>
      <c r="I3" s="1765" t="s">
        <v>772</v>
      </c>
      <c r="J3" s="1765" t="s">
        <v>772</v>
      </c>
      <c r="K3" s="1765" t="s">
        <v>772</v>
      </c>
      <c r="L3" s="1765" t="s">
        <v>772</v>
      </c>
      <c r="M3" s="1765" t="s">
        <v>772</v>
      </c>
      <c r="N3" s="1773" t="s">
        <v>772</v>
      </c>
      <c r="P3" s="1766"/>
      <c r="Q3" s="1766"/>
    </row>
    <row r="4" spans="1:17" ht="16.5" customHeight="1" x14ac:dyDescent="0.2">
      <c r="A4" s="1774"/>
      <c r="B4" s="1775"/>
      <c r="C4" s="1764"/>
      <c r="E4" s="1765"/>
      <c r="F4" s="1765"/>
      <c r="G4" s="1765"/>
      <c r="H4" s="1765"/>
      <c r="I4" s="1765"/>
      <c r="J4" s="1765"/>
      <c r="K4" s="1765"/>
      <c r="L4" s="1765"/>
      <c r="M4" s="1765"/>
      <c r="N4" s="1773"/>
      <c r="P4" s="1766"/>
      <c r="Q4" s="1766"/>
    </row>
    <row r="5" spans="1:17" ht="17.25" customHeight="1" x14ac:dyDescent="0.2">
      <c r="A5" s="1650"/>
      <c r="B5" s="1595"/>
      <c r="C5" s="1776"/>
      <c r="E5" s="1650"/>
      <c r="F5" s="1600"/>
      <c r="G5" s="1600"/>
      <c r="H5" s="1600"/>
      <c r="I5" s="1600"/>
      <c r="J5" s="1600"/>
      <c r="K5" s="1600"/>
      <c r="L5" s="1600"/>
      <c r="M5" s="1600"/>
      <c r="N5" s="1664"/>
      <c r="O5" s="1071"/>
      <c r="P5" s="1766"/>
      <c r="Q5" s="1766"/>
    </row>
    <row r="6" spans="1:17" ht="17.25" customHeight="1" x14ac:dyDescent="0.2">
      <c r="A6" s="1650"/>
      <c r="B6" s="1595"/>
      <c r="C6" s="1777"/>
      <c r="E6" s="1650"/>
      <c r="F6" s="1600"/>
      <c r="G6" s="1600"/>
      <c r="H6" s="1600"/>
      <c r="I6" s="1600"/>
      <c r="J6" s="1600"/>
      <c r="K6" s="1600"/>
      <c r="L6" s="1600"/>
      <c r="M6" s="1600"/>
      <c r="N6" s="1664"/>
      <c r="O6" s="1071"/>
      <c r="P6" s="1766"/>
      <c r="Q6" s="1766"/>
    </row>
    <row r="7" spans="1:17" ht="16.5" customHeight="1" x14ac:dyDescent="0.2">
      <c r="A7" s="1077">
        <f>VLOOKUP(A3,'Таблицы стимуляторов'!$A$2:$N$43,13,0)</f>
        <v>0</v>
      </c>
      <c r="B7" s="1247">
        <f>VLOOKUP(B3,'Таблицы стимуляторов'!$A$2:$N$43,13,0)</f>
        <v>0</v>
      </c>
      <c r="C7" s="1115">
        <f>IF(C3=B3,0,VLOOKUP(C3,'Таблицы стимуляторов'!$A$2:$N$43,13,0))</f>
        <v>0</v>
      </c>
      <c r="E7" s="1077">
        <f>VLOOKUP(E3,'Таблицы стимуляторов'!$A$2:$N$43,13,0)</f>
        <v>0</v>
      </c>
      <c r="F7" s="1238">
        <f>VLOOKUP(F3,'Таблицы стимуляторов'!$A$2:$N$43,13,0)</f>
        <v>0</v>
      </c>
      <c r="G7" s="1238">
        <f>VLOOKUP(G3,'Таблицы стимуляторов'!$A$2:$N$43,13,0)</f>
        <v>0</v>
      </c>
      <c r="H7" s="1238">
        <f>VLOOKUP(H3,'Таблицы стимуляторов'!$A$2:$N$43,13,0)</f>
        <v>0</v>
      </c>
      <c r="I7" s="1238">
        <f>VLOOKUP(I3,'Таблицы стимуляторов'!$A$2:$N$43,13,0)</f>
        <v>0</v>
      </c>
      <c r="J7" s="1238">
        <f>VLOOKUP(J3,'Таблицы стимуляторов'!$A$2:$N$43,13,0)</f>
        <v>0</v>
      </c>
      <c r="K7" s="1238">
        <f>VLOOKUP(K3,'Таблицы стимуляторов'!$A$2:$N$43,13,0)</f>
        <v>0</v>
      </c>
      <c r="L7" s="1238">
        <f>VLOOKUP(L3,'Таблицы стимуляторов'!$A$2:$N$43,13,0)</f>
        <v>0</v>
      </c>
      <c r="M7" s="1238">
        <f>VLOOKUP(M3,'Таблицы стимуляторов'!$A$2:$N$43,13,0)</f>
        <v>0</v>
      </c>
      <c r="N7" s="863">
        <f>VLOOKUP(N3,'Таблицы стимуляторов'!$A$2:$N$43,13,0)</f>
        <v>0</v>
      </c>
      <c r="O7" s="1071"/>
      <c r="P7" s="1766"/>
      <c r="Q7" s="1766"/>
    </row>
    <row r="8" spans="1:17" ht="16.5" customHeight="1" x14ac:dyDescent="0.2">
      <c r="A8" s="372">
        <f>VLOOKUP(A3,'Таблицы стимуляторов'!$A$2:$N$43,14,0)</f>
        <v>0</v>
      </c>
      <c r="B8" s="1248">
        <f>VLOOKUP(B3,'Таблицы стимуляторов'!$A$2:$N$43,14,0)</f>
        <v>0</v>
      </c>
      <c r="C8" s="1078">
        <f>IF(C3=B3,0,VLOOKUP(C3,'Таблицы стимуляторов'!$A$2:$N$43,14,0))</f>
        <v>0</v>
      </c>
      <c r="E8" s="372">
        <f>VLOOKUP(E3,'Таблицы стимуляторов'!$A$2:$N$43,14,0)</f>
        <v>0</v>
      </c>
      <c r="F8" s="756">
        <f>VLOOKUP(F3,'Таблицы стимуляторов'!$A$2:$N$43,14,0)</f>
        <v>0</v>
      </c>
      <c r="G8" s="756">
        <f>VLOOKUP(G3,'Таблицы стимуляторов'!$A$2:$N$43,14,0)</f>
        <v>0</v>
      </c>
      <c r="H8" s="756">
        <f>VLOOKUP(H3,'Таблицы стимуляторов'!$A$2:$N$43,14,0)</f>
        <v>0</v>
      </c>
      <c r="I8" s="756">
        <f>VLOOKUP(I3,'Таблицы стимуляторов'!$A$2:$N$43,14,0)</f>
        <v>0</v>
      </c>
      <c r="J8" s="756">
        <f>VLOOKUP(J3,'Таблицы стимуляторов'!$A$2:$N$43,14,0)</f>
        <v>0</v>
      </c>
      <c r="K8" s="756">
        <f>VLOOKUP(K3,'Таблицы стимуляторов'!$A$2:$N$43,14,0)</f>
        <v>0</v>
      </c>
      <c r="L8" s="756">
        <f>VLOOKUP(L3,'Таблицы стимуляторов'!$A$2:$N$43,14,0)</f>
        <v>0</v>
      </c>
      <c r="M8" s="756">
        <f>VLOOKUP(M3,'Таблицы стимуляторов'!$A$2:$N$43,14,0)</f>
        <v>0</v>
      </c>
      <c r="N8" s="1078">
        <f>VLOOKUP(N3,'Таблицы стимуляторов'!$A$2:$N$43,14,0)</f>
        <v>0</v>
      </c>
      <c r="O8" s="1071"/>
      <c r="P8" s="1766"/>
      <c r="Q8" s="1766"/>
    </row>
    <row r="9" spans="1:17" ht="16.5" customHeight="1" x14ac:dyDescent="0.2">
      <c r="A9" s="1079" t="str">
        <f>VLOOKUP(A3,'Таблицы стимуляторов'!$A$2:$N$43,3,0)</f>
        <v/>
      </c>
      <c r="B9" s="1249" t="str">
        <f>VLOOKUP(B3,'Таблицы стимуляторов'!$A$2:$N$43,3,0)</f>
        <v/>
      </c>
      <c r="C9" s="1250">
        <f>IF(C3=B3,0,VLOOKUP(C3,'Таблицы стимуляторов'!$A$2:$N$43,3,0))</f>
        <v>0</v>
      </c>
      <c r="E9" s="1079">
        <f>VLOOKUP(E3,Таблица_стимуляторы[],3,0)</f>
        <v>0</v>
      </c>
      <c r="F9" s="1075">
        <f>VLOOKUP(F3,Таблица_стимуляторы[],3,0)</f>
        <v>0</v>
      </c>
      <c r="G9" s="1075">
        <f>VLOOKUP(G3,Таблица_стимуляторы[],3,0)</f>
        <v>0</v>
      </c>
      <c r="H9" s="1075">
        <f>VLOOKUP(H3,Таблица_стимуляторы[],3,0)</f>
        <v>0</v>
      </c>
      <c r="I9" s="1075">
        <f>VLOOKUP(I3,Таблица_стимуляторы[],3,0)</f>
        <v>0</v>
      </c>
      <c r="J9" s="1075">
        <f>VLOOKUP(J3,Таблица_стимуляторы[],3,0)</f>
        <v>0</v>
      </c>
      <c r="K9" s="1075">
        <f>VLOOKUP(K3,Таблица_стимуляторы[],3,0)</f>
        <v>0</v>
      </c>
      <c r="L9" s="1075">
        <f>VLOOKUP(L3,Таблица_стимуляторы[],3,0)</f>
        <v>0</v>
      </c>
      <c r="M9" s="1075">
        <f>VLOOKUP(M3,Таблица_стимуляторы[],3,0)</f>
        <v>0</v>
      </c>
      <c r="N9" s="1080">
        <f>VLOOKUP(N3,Таблица_стимуляторы[],3,0)</f>
        <v>0</v>
      </c>
      <c r="O9" s="1"/>
      <c r="P9" s="1766"/>
      <c r="Q9" s="1766"/>
    </row>
    <row r="10" spans="1:17" ht="16.5" customHeight="1" x14ac:dyDescent="0.2">
      <c r="A10" s="1081">
        <f>VLOOKUP(A3,'Таблицы стимуляторов'!$A$2:$N$43,4,0)</f>
        <v>0</v>
      </c>
      <c r="B10" s="1072">
        <f>VLOOKUP(B3,'Таблицы стимуляторов'!$A$2:$N$43,4,0)</f>
        <v>0</v>
      </c>
      <c r="C10" s="1082">
        <f>IF(C3=B3,0,VLOOKUP(C3,'Таблицы стимуляторов'!$A$2:$N$43,4,0))</f>
        <v>0</v>
      </c>
      <c r="E10" s="1237">
        <f>VLOOKUP(E3,Таблица_расчета_стимуляторов[],3,0)</f>
        <v>0</v>
      </c>
      <c r="F10" s="1072">
        <f>VLOOKUP(F3,Таблица_расчета_стимуляторов[],4,0)</f>
        <v>0</v>
      </c>
      <c r="G10" s="1072">
        <f>VLOOKUP(G3,Таблица_расчета_стимуляторов[],5,0)</f>
        <v>0</v>
      </c>
      <c r="H10" s="1072">
        <f>VLOOKUP(H3,Таблица_расчета_стимуляторов[],6,0)</f>
        <v>0</v>
      </c>
      <c r="I10" s="1072">
        <f>VLOOKUP(I3,Таблица_расчета_стимуляторов[],7,0)</f>
        <v>0</v>
      </c>
      <c r="J10" s="1072">
        <f>VLOOKUP(J3,Таблица_расчета_стимуляторов[],8,0)</f>
        <v>0</v>
      </c>
      <c r="K10" s="1072">
        <f>VLOOKUP(K3,Таблица_расчета_стимуляторов[],9,0)</f>
        <v>0</v>
      </c>
      <c r="L10" s="1072">
        <f>VLOOKUP(L3,Таблица_расчета_стимуляторов[],10,0)</f>
        <v>0</v>
      </c>
      <c r="M10" s="1072">
        <f>VLOOKUP(M3,Таблица_расчета_стимуляторов[],11,0)</f>
        <v>0</v>
      </c>
      <c r="N10" s="1082">
        <f>VLOOKUP(N3,Таблица_расчета_стимуляторов[],12,0)</f>
        <v>0</v>
      </c>
      <c r="O10" s="1"/>
      <c r="P10" s="1766"/>
      <c r="Q10" s="1766"/>
    </row>
    <row r="11" spans="1:17" ht="16.5" customHeight="1" x14ac:dyDescent="0.2">
      <c r="A11" s="1079">
        <f>VLOOKUP(A3,'Таблицы стимуляторов'!$A$2:$N$43,5,0)</f>
        <v>0</v>
      </c>
      <c r="B11" s="1075">
        <f>VLOOKUP(B3,'Таблицы стимуляторов'!$A$2:$N$43,5,0)</f>
        <v>0</v>
      </c>
      <c r="C11" s="1080">
        <f>IF(C3=B3,0,VLOOKUP(C3,'Таблицы стимуляторов'!$A$2:$N$43,5,0))</f>
        <v>0</v>
      </c>
      <c r="E11" s="1079">
        <f>VLOOKUP(E3,Таблица_стимуляторы[],5,0)</f>
        <v>0</v>
      </c>
      <c r="F11" s="1075">
        <f>VLOOKUP(F3,Таблица_стимуляторы[],5,0)</f>
        <v>0</v>
      </c>
      <c r="G11" s="1075">
        <f>VLOOKUP(G3,Таблица_стимуляторы[],5,0)</f>
        <v>0</v>
      </c>
      <c r="H11" s="1075">
        <f>VLOOKUP(H3,Таблица_стимуляторы[],5,0)</f>
        <v>0</v>
      </c>
      <c r="I11" s="1075">
        <f>VLOOKUP(I3,Таблица_стимуляторы[],5,0)</f>
        <v>0</v>
      </c>
      <c r="J11" s="1075">
        <f>VLOOKUP(J3,Таблица_стимуляторы[],5,0)</f>
        <v>0</v>
      </c>
      <c r="K11" s="1075">
        <f>VLOOKUP(K3,Таблица_стимуляторы[],5,0)</f>
        <v>0</v>
      </c>
      <c r="L11" s="1075">
        <f>VLOOKUP(L3,Таблица_стимуляторы[],5,0)</f>
        <v>0</v>
      </c>
      <c r="M11" s="1075">
        <f>VLOOKUP(M3,Таблица_стимуляторы[],5,0)</f>
        <v>0</v>
      </c>
      <c r="N11" s="1080">
        <f>VLOOKUP(N3,Таблица_стимуляторы[],5,0)</f>
        <v>0</v>
      </c>
      <c r="O11" s="1"/>
      <c r="P11" s="1766"/>
      <c r="Q11" s="1766"/>
    </row>
    <row r="12" spans="1:17" ht="16.5" customHeight="1" x14ac:dyDescent="0.2">
      <c r="A12" s="1081">
        <f>VLOOKUP(A$3,'Таблицы стимуляторов'!$A$2:$N$43,6,0)</f>
        <v>0</v>
      </c>
      <c r="B12" s="1072">
        <f>VLOOKUP(B$3,'Таблицы стимуляторов'!$A$2:$N$43,6,0)</f>
        <v>0</v>
      </c>
      <c r="C12" s="1082">
        <f>IF(C3=B3,0,VLOOKUP(C$3,'Таблицы стимуляторов'!$A$2:$N$43,6,0))</f>
        <v>0</v>
      </c>
      <c r="E12" s="1237">
        <f>VLOOKUP(E3,Таблица_расчета_стимуляторов[],15,0)</f>
        <v>0</v>
      </c>
      <c r="F12" s="1072">
        <f>VLOOKUP(F3,Таблица_расчета_стимуляторов[],16,0)</f>
        <v>0</v>
      </c>
      <c r="G12" s="1072">
        <f>VLOOKUP(G3,Таблица_расчета_стимуляторов[],17,0)</f>
        <v>0</v>
      </c>
      <c r="H12" s="1072">
        <f>VLOOKUP(H3,Таблица_расчета_стимуляторов[],18,0)</f>
        <v>0</v>
      </c>
      <c r="I12" s="1072">
        <f>VLOOKUP(I3,Таблица_расчета_стимуляторов[],19,0)</f>
        <v>0</v>
      </c>
      <c r="J12" s="1072">
        <f>VLOOKUP(J3,Таблица_расчета_стимуляторов[],20,0)</f>
        <v>0</v>
      </c>
      <c r="K12" s="1072">
        <f>VLOOKUP(K3,Таблица_расчета_стимуляторов[],21,0)</f>
        <v>0</v>
      </c>
      <c r="L12" s="1072">
        <f>VLOOKUP(L3,Таблица_расчета_стимуляторов[],22,0)</f>
        <v>0</v>
      </c>
      <c r="M12" s="1072">
        <f>VLOOKUP(M3,Таблица_расчета_стимуляторов[],23,0)</f>
        <v>0</v>
      </c>
      <c r="N12" s="1082">
        <f>VLOOKUP(N3,Таблица_расчета_стимуляторов[],24,0)</f>
        <v>0</v>
      </c>
      <c r="O12" s="851"/>
      <c r="P12" s="1766"/>
      <c r="Q12" s="1766"/>
    </row>
    <row r="13" spans="1:17" ht="16.5" customHeight="1" x14ac:dyDescent="0.2">
      <c r="A13" s="1079">
        <f>VLOOKUP(A3,'Таблицы стимуляторов'!$A$2:$N$43,7,0)</f>
        <v>0</v>
      </c>
      <c r="B13" s="1075">
        <f>VLOOKUP(B3,'Таблицы стимуляторов'!$A$2:$N$43,7,0)</f>
        <v>0</v>
      </c>
      <c r="C13" s="1080">
        <f>IF(C3=B3,0,VLOOKUP(C3,'Таблицы стимуляторов'!$A$2:$N$43,7,0))</f>
        <v>0</v>
      </c>
      <c r="E13" s="1079">
        <f>VLOOKUP(E3,Таблица_стимуляторы[],7,0)</f>
        <v>0</v>
      </c>
      <c r="F13" s="1075">
        <f>VLOOKUP(F3,Таблица_стимуляторы[],7,0)</f>
        <v>0</v>
      </c>
      <c r="G13" s="1075">
        <f>VLOOKUP(G3,Таблица_стимуляторы[],7,0)</f>
        <v>0</v>
      </c>
      <c r="H13" s="1075">
        <f>VLOOKUP(H3,Таблица_стимуляторы[],7,0)</f>
        <v>0</v>
      </c>
      <c r="I13" s="1075">
        <f>VLOOKUP(I3,Таблица_стимуляторы[],7,0)</f>
        <v>0</v>
      </c>
      <c r="J13" s="1075">
        <f>VLOOKUP(J3,Таблица_стимуляторы[],7,0)</f>
        <v>0</v>
      </c>
      <c r="K13" s="1075">
        <f>VLOOKUP(K3,Таблица_стимуляторы[],7,0)</f>
        <v>0</v>
      </c>
      <c r="L13" s="1075">
        <f>VLOOKUP(L3,Таблица_стимуляторы[],7,0)</f>
        <v>0</v>
      </c>
      <c r="M13" s="1075">
        <f>VLOOKUP(M3,Таблица_стимуляторы[],7,0)</f>
        <v>0</v>
      </c>
      <c r="N13" s="1080">
        <f>VLOOKUP(N3,Таблица_стимуляторы[],7,0)</f>
        <v>0</v>
      </c>
      <c r="O13" s="1"/>
      <c r="P13" s="1766"/>
      <c r="Q13" s="1766"/>
    </row>
    <row r="14" spans="1:17" ht="16.5" customHeight="1" thickBot="1" x14ac:dyDescent="0.25">
      <c r="A14" s="1081">
        <f>VLOOKUP(A3,'Таблицы стимуляторов'!$A$2:$N$43,8,0)</f>
        <v>0</v>
      </c>
      <c r="B14" s="1072">
        <f>VLOOKUP(B3,'Таблицы стимуляторов'!$A$2:$N$43,8,0)</f>
        <v>0</v>
      </c>
      <c r="C14" s="1082">
        <f>IF(C3=B3,0,VLOOKUP(C3,'Таблицы стимуляторов'!$A$2:$N$43,8,0))</f>
        <v>0</v>
      </c>
      <c r="E14" s="1239">
        <f>VLOOKUP(E3,Таблица_расчета_стимуляторов[],27,0)</f>
        <v>0</v>
      </c>
      <c r="F14" s="1240">
        <f>VLOOKUP(F3,Таблица_расчета_стимуляторов[],28,0)</f>
        <v>0</v>
      </c>
      <c r="G14" s="1240">
        <f>VLOOKUP(G3,Таблица_расчета_стимуляторов[],29,0)</f>
        <v>0</v>
      </c>
      <c r="H14" s="1240">
        <f>VLOOKUP(H3,Таблица_расчета_стимуляторов[],30,0)</f>
        <v>0</v>
      </c>
      <c r="I14" s="1240">
        <f>VLOOKUP(I3,Таблица_расчета_стимуляторов[],31,0)</f>
        <v>0</v>
      </c>
      <c r="J14" s="1240">
        <f>VLOOKUP(J3,Таблица_расчета_стимуляторов[],32,0)</f>
        <v>0</v>
      </c>
      <c r="K14" s="1240">
        <f>VLOOKUP(K3,Таблица_расчета_стимуляторов[],33,0)</f>
        <v>0</v>
      </c>
      <c r="L14" s="1240">
        <f>VLOOKUP(L3,Таблица_расчета_стимуляторов[],34,0)</f>
        <v>0</v>
      </c>
      <c r="M14" s="1240">
        <f>VLOOKUP(M3,Таблица_расчета_стимуляторов[],35,0)</f>
        <v>0</v>
      </c>
      <c r="N14" s="1084">
        <f>VLOOKUP(N3,Таблица_расчета_стимуляторов[],36,0)</f>
        <v>0</v>
      </c>
      <c r="O14" s="1"/>
      <c r="P14" s="1766"/>
      <c r="Q14" s="1766"/>
    </row>
    <row r="15" spans="1:17" ht="16.5" customHeight="1" x14ac:dyDescent="0.2">
      <c r="A15" s="1079">
        <f>VLOOKUP(A3,'Таблицы стимуляторов'!$A$2:$N$43,9,0)</f>
        <v>0</v>
      </c>
      <c r="B15" s="1075">
        <f>VLOOKUP(B3,'Таблицы стимуляторов'!$A$2:$N$43,9,0)</f>
        <v>0</v>
      </c>
      <c r="C15" s="1080">
        <f>IF(C3=B3,0,VLOOKUP(C3,'Таблицы стимуляторов'!$A$2:$N$43,9,0))</f>
        <v>0</v>
      </c>
      <c r="O15" s="1"/>
      <c r="P15" s="1766"/>
      <c r="Q15" s="1766"/>
    </row>
    <row r="16" spans="1:17" ht="16.5" customHeight="1" x14ac:dyDescent="0.2">
      <c r="A16" s="1081">
        <f>VLOOKUP(A3,'Таблицы стимуляторов'!$A$2:$N$43,10,0)</f>
        <v>0</v>
      </c>
      <c r="B16" s="1072">
        <f>VLOOKUP(B3,'Таблицы стимуляторов'!$A$2:$N$43,10,0)</f>
        <v>0</v>
      </c>
      <c r="C16" s="1082">
        <f>IF(C3=B3,0,VLOOKUP(C3,'Таблицы стимуляторов'!$A$2:$N$43,10,0))</f>
        <v>0</v>
      </c>
      <c r="D16" s="1072"/>
      <c r="E16" s="1072"/>
      <c r="F16" s="1072"/>
      <c r="G16" s="1072"/>
      <c r="H16" s="1072"/>
      <c r="I16" s="1072"/>
      <c r="J16" s="1072"/>
      <c r="K16" s="1072"/>
      <c r="L16" s="1072"/>
      <c r="M16" s="1072"/>
      <c r="N16" s="1072"/>
      <c r="O16" s="1"/>
      <c r="P16" s="1"/>
    </row>
    <row r="17" spans="1:16" ht="16.5" customHeight="1" x14ac:dyDescent="0.2">
      <c r="A17" s="1079">
        <f>VLOOKUP(A3,'Таблицы стимуляторов'!$A$2:$N$43,11,0)</f>
        <v>0</v>
      </c>
      <c r="B17" s="1075">
        <f>VLOOKUP(B3,'Таблицы стимуляторов'!$A$2:$N$43,11,0)</f>
        <v>0</v>
      </c>
      <c r="C17" s="1080">
        <f>IF(C3=B3,0,VLOOKUP(C3,'Таблицы стимуляторов'!$A$2:$N$43,11,0))</f>
        <v>0</v>
      </c>
      <c r="D17" s="1075"/>
      <c r="E17" s="1075"/>
      <c r="F17" s="1075"/>
      <c r="G17" s="1075"/>
      <c r="H17" s="1075"/>
      <c r="I17" s="1075"/>
      <c r="J17" s="1075"/>
      <c r="K17" s="1075"/>
      <c r="L17" s="1075"/>
      <c r="M17" s="1075"/>
      <c r="N17" s="1075"/>
      <c r="O17" s="1"/>
      <c r="P17" s="1"/>
    </row>
    <row r="18" spans="1:16" ht="16.5" customHeight="1" thickBot="1" x14ac:dyDescent="0.25">
      <c r="A18" s="1083">
        <f>VLOOKUP(A3,'Таблицы стимуляторов'!$A$2:$N$43,12,0)</f>
        <v>0</v>
      </c>
      <c r="B18" s="1240">
        <f>VLOOKUP(B3,'Таблицы стимуляторов'!$A$2:$N$43,12,0)</f>
        <v>0</v>
      </c>
      <c r="C18" s="1084">
        <f>IF(C3=B3,0,VLOOKUP(C3,'Таблицы стимуляторов'!$A$2:$N$43,12,0))</f>
        <v>0</v>
      </c>
      <c r="D18" s="1072"/>
      <c r="E18" s="1072"/>
      <c r="F18" s="1072"/>
      <c r="G18" s="1072"/>
      <c r="H18" s="1072"/>
      <c r="I18" s="1072"/>
      <c r="J18" s="1072"/>
      <c r="K18" s="1072"/>
      <c r="L18" s="1072"/>
      <c r="M18" s="1072"/>
      <c r="N18" s="1072"/>
      <c r="O18" s="1"/>
      <c r="P18" s="1"/>
    </row>
    <row r="19" spans="1:16" ht="16.5" customHeight="1" x14ac:dyDescent="0.2">
      <c r="A19" s="1072"/>
      <c r="B19" s="1072"/>
      <c r="C19" s="1072"/>
      <c r="D19" s="1072"/>
      <c r="E19" s="1072"/>
      <c r="F19" s="1072"/>
      <c r="G19" s="1072"/>
      <c r="H19" s="1072"/>
      <c r="I19" s="1072"/>
      <c r="J19" s="1072"/>
      <c r="K19" s="1072"/>
      <c r="L19" s="1072"/>
      <c r="M19" s="1072"/>
      <c r="N19" s="1072"/>
      <c r="O19" s="1"/>
      <c r="P19" s="1"/>
    </row>
    <row r="20" spans="1:16" ht="16.5" customHeight="1" x14ac:dyDescent="0.2">
      <c r="L20" s="1086"/>
      <c r="M20" s="1"/>
      <c r="N20" s="1"/>
      <c r="O20" s="1"/>
      <c r="P20" s="1"/>
    </row>
    <row r="21" spans="1:16" ht="16.5" customHeight="1" x14ac:dyDescent="0.2">
      <c r="L21" s="1086"/>
      <c r="M21" s="1"/>
      <c r="N21" s="1"/>
      <c r="O21" s="1"/>
      <c r="P21" s="1"/>
    </row>
    <row r="22" spans="1:16" ht="16.5" customHeight="1" x14ac:dyDescent="0.2">
      <c r="L22" s="1766"/>
      <c r="M22" s="1"/>
      <c r="N22" s="1"/>
      <c r="O22" s="1"/>
      <c r="P22" s="1"/>
    </row>
    <row r="23" spans="1:16" ht="16.5" customHeight="1" x14ac:dyDescent="0.2">
      <c r="L23" s="1766"/>
      <c r="M23" s="1"/>
      <c r="N23" s="1"/>
      <c r="O23" s="1"/>
      <c r="P23" s="1"/>
    </row>
    <row r="24" spans="1:16" ht="16.5" customHeight="1" x14ac:dyDescent="0.2">
      <c r="L24" s="1766"/>
      <c r="M24" s="1"/>
      <c r="N24" s="1"/>
      <c r="O24" s="1"/>
      <c r="P24" s="1"/>
    </row>
    <row r="25" spans="1:16" ht="16.5" customHeight="1" x14ac:dyDescent="0.2">
      <c r="L25" s="1766"/>
    </row>
    <row r="26" spans="1:16" ht="16.5" customHeight="1" x14ac:dyDescent="0.2">
      <c r="L26" s="1"/>
    </row>
    <row r="27" spans="1:16" ht="16.5" customHeight="1" x14ac:dyDescent="0.2">
      <c r="L27" s="1"/>
    </row>
    <row r="28" spans="1:16" ht="16.5" customHeight="1" x14ac:dyDescent="0.2">
      <c r="L28" s="1075"/>
    </row>
    <row r="29" spans="1:16" ht="16.5" customHeight="1" x14ac:dyDescent="0.2">
      <c r="L29" s="1072"/>
    </row>
    <row r="30" spans="1:16" ht="16.5" customHeight="1" x14ac:dyDescent="0.2">
      <c r="L30" s="1075"/>
    </row>
    <row r="31" spans="1:16" ht="16.5" customHeight="1" x14ac:dyDescent="0.2">
      <c r="L31" s="1072"/>
    </row>
    <row r="32" spans="1:16" ht="16.5" customHeight="1" x14ac:dyDescent="0.2">
      <c r="L32" s="1075"/>
    </row>
    <row r="33" spans="1:12" ht="16.5" customHeight="1" x14ac:dyDescent="0.2">
      <c r="L33" s="1072"/>
    </row>
    <row r="34" spans="1:12" ht="16.5" customHeight="1" x14ac:dyDescent="0.2">
      <c r="A34" s="1075"/>
      <c r="B34" s="1075"/>
      <c r="C34" s="1075"/>
      <c r="D34" s="1075"/>
      <c r="E34" s="1075"/>
      <c r="F34" s="1075"/>
      <c r="G34" s="1075"/>
      <c r="H34" s="1075"/>
      <c r="I34" s="1075"/>
      <c r="J34" s="1075"/>
      <c r="K34" s="1075"/>
      <c r="L34" s="1075"/>
    </row>
    <row r="35" spans="1:12" ht="16.5" customHeight="1" x14ac:dyDescent="0.2">
      <c r="A35" s="47"/>
      <c r="B35" s="974"/>
      <c r="C35" s="974"/>
      <c r="D35" s="1074"/>
      <c r="K35" s="1"/>
    </row>
    <row r="36" spans="1:12" ht="16.5" customHeight="1" x14ac:dyDescent="0.2">
      <c r="A36" s="47"/>
      <c r="B36" s="974"/>
      <c r="C36" s="974"/>
      <c r="D36" s="1074"/>
      <c r="K36" s="1"/>
    </row>
    <row r="37" spans="1:12" ht="16.5" customHeight="1" x14ac:dyDescent="0.2">
      <c r="A37" s="47"/>
      <c r="B37" s="974"/>
      <c r="C37" s="974"/>
      <c r="D37" s="1074"/>
    </row>
    <row r="38" spans="1:12" ht="16.5" customHeight="1" x14ac:dyDescent="0.2">
      <c r="B38" s="1073"/>
      <c r="C38" s="1073"/>
    </row>
    <row r="39" spans="1:12" ht="16.5" customHeight="1" x14ac:dyDescent="0.2"/>
    <row r="40" spans="1:12" ht="16.5" customHeight="1" x14ac:dyDescent="0.2"/>
    <row r="41" spans="1:12" ht="16.5" customHeight="1" x14ac:dyDescent="0.2"/>
    <row r="42" spans="1:12" ht="16.5" customHeight="1" x14ac:dyDescent="0.2"/>
    <row r="43" spans="1:12" ht="16.5" customHeight="1" x14ac:dyDescent="0.2"/>
    <row r="44" spans="1:12" ht="16.5" customHeight="1" x14ac:dyDescent="0.2"/>
    <row r="45" spans="1:12" ht="16.5" customHeight="1" x14ac:dyDescent="0.2"/>
    <row r="46" spans="1:12" ht="16.5" customHeight="1" x14ac:dyDescent="0.2"/>
    <row r="47" spans="1:12" ht="16.5" customHeight="1" x14ac:dyDescent="0.2"/>
    <row r="48" spans="1:12" ht="16.5" customHeight="1" x14ac:dyDescent="0.2"/>
    <row r="49" ht="16.5" customHeight="1" x14ac:dyDescent="0.2"/>
    <row r="50" ht="16.5" customHeight="1" x14ac:dyDescent="0.2"/>
    <row r="51" ht="16.5" customHeight="1" x14ac:dyDescent="0.2"/>
    <row r="52" ht="16.5" customHeight="1" x14ac:dyDescent="0.2"/>
    <row r="53" ht="16.5" customHeight="1" x14ac:dyDescent="0.2"/>
    <row r="54" ht="16.5" customHeight="1" x14ac:dyDescent="0.2"/>
    <row r="55" ht="16.5" customHeight="1" x14ac:dyDescent="0.2"/>
    <row r="56" ht="16.5" customHeight="1" x14ac:dyDescent="0.2"/>
    <row r="57" ht="16.5" customHeight="1" x14ac:dyDescent="0.2"/>
    <row r="58" ht="16.5" customHeight="1" x14ac:dyDescent="0.2"/>
    <row r="59" ht="16.5" customHeight="1" x14ac:dyDescent="0.2"/>
    <row r="60" ht="16.5" customHeight="1" x14ac:dyDescent="0.2"/>
    <row r="61" ht="16.5" customHeight="1" x14ac:dyDescent="0.2"/>
    <row r="62" ht="16.5" customHeight="1" x14ac:dyDescent="0.2"/>
    <row r="63" ht="16.5" customHeight="1" x14ac:dyDescent="0.2"/>
    <row r="64" ht="16.5" customHeight="1" x14ac:dyDescent="0.2"/>
    <row r="65" ht="16.5" customHeight="1" x14ac:dyDescent="0.2"/>
    <row r="66" ht="16.5" customHeight="1" x14ac:dyDescent="0.2"/>
    <row r="67" ht="16.5" customHeight="1" x14ac:dyDescent="0.2"/>
    <row r="68" ht="16.5" customHeight="1" x14ac:dyDescent="0.2"/>
    <row r="69" ht="16.5" customHeight="1" x14ac:dyDescent="0.2"/>
    <row r="70" ht="16.5" customHeight="1" x14ac:dyDescent="0.2"/>
    <row r="71" ht="16.5" customHeight="1" x14ac:dyDescent="0.2"/>
    <row r="72" ht="16.5" customHeight="1" x14ac:dyDescent="0.2"/>
    <row r="73" ht="16.5" customHeight="1" x14ac:dyDescent="0.2"/>
    <row r="74" ht="16.5" customHeight="1" x14ac:dyDescent="0.2"/>
    <row r="75" ht="16.5" customHeight="1" x14ac:dyDescent="0.2"/>
    <row r="76" ht="16.5" customHeight="1" x14ac:dyDescent="0.2"/>
    <row r="77" ht="16.5" customHeight="1" x14ac:dyDescent="0.2"/>
    <row r="78" ht="16.5" customHeight="1" x14ac:dyDescent="0.2"/>
    <row r="79" ht="16.5" customHeight="1" x14ac:dyDescent="0.2"/>
    <row r="80" ht="16.5" customHeight="1" x14ac:dyDescent="0.2"/>
    <row r="81" ht="16.5" customHeight="1" x14ac:dyDescent="0.2"/>
    <row r="82" ht="16.5" customHeight="1" x14ac:dyDescent="0.2"/>
    <row r="83" ht="16.5" customHeight="1" x14ac:dyDescent="0.2"/>
  </sheetData>
  <sheetProtection formatCells="0" selectLockedCells="1"/>
  <sortState xmlns:xlrd2="http://schemas.microsoft.com/office/spreadsheetml/2017/richdata2" columnSort="1" ref="A3:M4">
    <sortCondition ref="A3:M3"/>
    <sortCondition ref="A4:M4"/>
  </sortState>
  <dataConsolidate>
    <dataRefs count="1">
      <dataRef ref="D26:G26" sheet="Стимуляторы"/>
    </dataRefs>
  </dataConsolidate>
  <mergeCells count="43">
    <mergeCell ref="B5:B6"/>
    <mergeCell ref="L22:L23"/>
    <mergeCell ref="L5:L6"/>
    <mergeCell ref="A5:A6"/>
    <mergeCell ref="H5:H6"/>
    <mergeCell ref="I5:I6"/>
    <mergeCell ref="J5:J6"/>
    <mergeCell ref="K5:K6"/>
    <mergeCell ref="C5:C6"/>
    <mergeCell ref="L24:L25"/>
    <mergeCell ref="G5:G6"/>
    <mergeCell ref="F5:F6"/>
    <mergeCell ref="E5:E6"/>
    <mergeCell ref="N5:N6"/>
    <mergeCell ref="M5:M6"/>
    <mergeCell ref="P13:Q13"/>
    <mergeCell ref="P14:Q14"/>
    <mergeCell ref="P3:Q3"/>
    <mergeCell ref="P4:Q4"/>
    <mergeCell ref="P5:Q5"/>
    <mergeCell ref="P6:Q6"/>
    <mergeCell ref="P7:Q7"/>
    <mergeCell ref="N3:N4"/>
    <mergeCell ref="M3:M4"/>
    <mergeCell ref="A3:A4"/>
    <mergeCell ref="J3:J4"/>
    <mergeCell ref="B3:B4"/>
    <mergeCell ref="A1:C2"/>
    <mergeCell ref="C3:C4"/>
    <mergeCell ref="G3:G4"/>
    <mergeCell ref="P15:Q15"/>
    <mergeCell ref="P8:Q8"/>
    <mergeCell ref="P9:Q9"/>
    <mergeCell ref="P10:Q10"/>
    <mergeCell ref="P11:Q11"/>
    <mergeCell ref="P12:Q12"/>
    <mergeCell ref="E1:N2"/>
    <mergeCell ref="I3:I4"/>
    <mergeCell ref="H3:H4"/>
    <mergeCell ref="F3:F4"/>
    <mergeCell ref="E3:E4"/>
    <mergeCell ref="L3:L4"/>
    <mergeCell ref="K3:K4"/>
  </mergeCells>
  <conditionalFormatting sqref="A10:C10 A12:C12 A14:C14 A16:C16 A18:C18">
    <cfRule type="cellIs" dxfId="899" priority="2" operator="lessThan">
      <formula>1</formula>
    </cfRule>
  </conditionalFormatting>
  <conditionalFormatting sqref="A9:N18">
    <cfRule type="cellIs" dxfId="898" priority="1" operator="equal">
      <formula>0</formula>
    </cfRule>
  </conditionalFormatting>
  <dataValidations count="6">
    <dataValidation type="list" allowBlank="1" showInputMessage="1" showErrorMessage="1" sqref="B35:C37" xr:uid="{00000000-0002-0000-0600-000000000000}">
      <formula1>"0,1,2,3,4,5"</formula1>
    </dataValidation>
    <dataValidation type="list" allowBlank="1" showInputMessage="1" showErrorMessage="1" sqref="P15 P3:Q14" xr:uid="{00000000-0002-0000-0600-000001000000}">
      <formula1>INDIRECT("Таблица_стимуляторы[Название]")</formula1>
    </dataValidation>
    <dataValidation type="list" showInputMessage="1" showErrorMessage="1" sqref="A3:A4" xr:uid="{00000000-0002-0000-0600-000002000000}">
      <formula1>INDIRECT("'Таблицы стимуляторов'!$A$2:$A$6")</formula1>
    </dataValidation>
    <dataValidation type="list" allowBlank="1" showInputMessage="1" showErrorMessage="1" sqref="B3:C4" xr:uid="{00000000-0002-0000-0600-000003000000}">
      <formula1>INDIRECT("'Таблицы стимуляторов'!$A$9:$A$12")</formula1>
    </dataValidation>
    <dataValidation type="list" allowBlank="1" showInputMessage="1" showErrorMessage="1" sqref="L22:L23" xr:uid="{00000000-0002-0000-0600-000004000000}">
      <formula1>INDIRECT("Стимуляторы!$A$13:$A$48")</formula1>
    </dataValidation>
    <dataValidation type="list" allowBlank="1" showInputMessage="1" showErrorMessage="1" sqref="E3:N4" xr:uid="{00000000-0002-0000-0600-000005000000}">
      <formula1>INDIRECT("'Таблицы стимуляторов'!$A$15:$A$43")</formula1>
    </dataValidation>
  </dataValidations>
  <pageMargins left="0.7" right="0.7" top="0.75" bottom="0.75" header="0.3" footer="0.3"/>
  <pageSetup paperSize="9" orientation="portrait" r:id="rId1"/>
  <drawing r:id="rId2"/>
  <legacyDrawing r:id="rId3"/>
  <picture r:id="rId4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M15"/>
  <sheetViews>
    <sheetView workbookViewId="0">
      <selection activeCell="E19" sqref="E19"/>
    </sheetView>
  </sheetViews>
  <sheetFormatPr defaultRowHeight="15" x14ac:dyDescent="0.25"/>
  <sheetData>
    <row r="1" spans="1:13" x14ac:dyDescent="0.25">
      <c r="A1" s="1801" t="s">
        <v>335</v>
      </c>
      <c r="B1" s="1802"/>
      <c r="C1" s="1802"/>
      <c r="D1" s="1802"/>
      <c r="E1" s="1803"/>
      <c r="F1" s="19"/>
      <c r="G1" s="19"/>
      <c r="H1" s="19"/>
      <c r="I1" s="1792" t="s">
        <v>336</v>
      </c>
      <c r="J1" s="1793"/>
      <c r="K1" s="1793"/>
      <c r="L1" s="1793"/>
      <c r="M1" s="1793"/>
    </row>
    <row r="2" spans="1:13" x14ac:dyDescent="0.25">
      <c r="A2" s="20" t="s">
        <v>65</v>
      </c>
      <c r="B2" s="21">
        <f>Навыки!M7</f>
        <v>463.3</v>
      </c>
      <c r="C2" s="1807" t="s">
        <v>278</v>
      </c>
      <c r="D2" s="1807"/>
      <c r="E2" s="22" t="e">
        <f>ROUND(Навыки!#REF!*(1+Стимуляторы!G4+Стимуляторы!G7+Стимуляторы!G8+Стимуляторы!E9+Стимуляторы!E10+Стимуляторы!E11+Стимуляторы!E12),1)</f>
        <v>#REF!</v>
      </c>
      <c r="F2" s="1792" t="s">
        <v>391</v>
      </c>
      <c r="G2" s="1793"/>
      <c r="H2" s="1794"/>
      <c r="I2" s="20" t="s">
        <v>65</v>
      </c>
      <c r="J2" s="70">
        <v>551</v>
      </c>
      <c r="K2" s="1807" t="s">
        <v>278</v>
      </c>
      <c r="L2" s="1807"/>
      <c r="M2" s="166">
        <v>122</v>
      </c>
    </row>
    <row r="3" spans="1:13" x14ac:dyDescent="0.25">
      <c r="A3" s="23" t="s">
        <v>294</v>
      </c>
      <c r="B3" s="24">
        <f>Навыки!M8+Стимуляторы!F9+Стимуляторы!F10+Стимуляторы!F11+Стимуляторы!F12</f>
        <v>115</v>
      </c>
      <c r="C3" s="50" t="s">
        <v>255</v>
      </c>
      <c r="D3" s="51"/>
      <c r="E3" s="25">
        <f>Навыки!P8</f>
        <v>127</v>
      </c>
      <c r="F3" s="26">
        <f>IFERROR(ROUNDDOWN(J9*J9/(J9+B2)-J9*J9/(J9+B2)*E4,1),0)</f>
        <v>0</v>
      </c>
      <c r="G3" s="27">
        <f>IFERROR(ROUNDDOWN(K9*K9/(K9+B2)-K9*K9/(K9+B2)*E4,1),0)</f>
        <v>0</v>
      </c>
      <c r="H3" s="27">
        <f>(F3+G3)/2</f>
        <v>0</v>
      </c>
      <c r="I3" s="23" t="s">
        <v>294</v>
      </c>
      <c r="J3" s="71">
        <v>0</v>
      </c>
      <c r="K3" s="50" t="s">
        <v>255</v>
      </c>
      <c r="L3" s="51"/>
      <c r="M3" s="167">
        <v>0</v>
      </c>
    </row>
    <row r="4" spans="1:13" x14ac:dyDescent="0.25">
      <c r="A4" s="23" t="s">
        <v>295</v>
      </c>
      <c r="B4" s="28">
        <f>Навыки!M9+'Таблицы броня'!AF47+Стимуляторы!F9+Стимуляторы!F10+Стимуляторы!F11+Стимуляторы!F12</f>
        <v>65</v>
      </c>
      <c r="C4" s="1591" t="s">
        <v>297</v>
      </c>
      <c r="D4" s="1592"/>
      <c r="E4" s="29" t="e">
        <f>Навыки!P9+Стимуляторы!H4+Стимуляторы!H7+Стимуляторы!H8+#REF!+#REF!+#REF!+#REF!</f>
        <v>#REF!</v>
      </c>
      <c r="F4" s="1784" t="s">
        <v>334</v>
      </c>
      <c r="G4" s="1785"/>
      <c r="H4" s="1786"/>
      <c r="I4" s="23" t="s">
        <v>295</v>
      </c>
      <c r="J4" s="72">
        <v>0</v>
      </c>
      <c r="K4" s="1591" t="s">
        <v>297</v>
      </c>
      <c r="L4" s="1592"/>
      <c r="M4" s="168">
        <v>0.45</v>
      </c>
    </row>
    <row r="5" spans="1:13" x14ac:dyDescent="0.25">
      <c r="A5" s="23" t="s">
        <v>296</v>
      </c>
      <c r="B5" s="31">
        <f>Навыки!M10+'Таблицы броня'!AF47+Стимуляторы!F9+Стимуляторы!F10+Стимуляторы!F11+Стимуляторы!F12</f>
        <v>105</v>
      </c>
      <c r="C5" s="1591" t="s">
        <v>380</v>
      </c>
      <c r="D5" s="1592"/>
      <c r="E5" s="25">
        <f>Навыки!P10</f>
        <v>107</v>
      </c>
      <c r="F5" s="32">
        <f>IFERROR(ROUNDDOWN(B9*B9/(B9+J2)-B9*B9/(B9+J2)*M4,1),0)</f>
        <v>0</v>
      </c>
      <c r="G5" s="95">
        <f>IFERROR(ROUNDDOWN(C9*C9/(C9+J2)-C9*C9/(C9+J2)*M4,1),0)</f>
        <v>0</v>
      </c>
      <c r="H5" s="27">
        <f>(F5+G5)/2</f>
        <v>0</v>
      </c>
      <c r="I5" s="23" t="s">
        <v>296</v>
      </c>
      <c r="J5" s="72">
        <v>0</v>
      </c>
      <c r="K5" s="1591" t="s">
        <v>380</v>
      </c>
      <c r="L5" s="1592"/>
      <c r="M5" s="169">
        <v>0</v>
      </c>
    </row>
    <row r="6" spans="1:13" x14ac:dyDescent="0.25">
      <c r="A6" s="23" t="s">
        <v>45</v>
      </c>
      <c r="B6" s="30">
        <f>Навыки!M11</f>
        <v>0.16</v>
      </c>
      <c r="C6" s="1591" t="s">
        <v>299</v>
      </c>
      <c r="D6" s="1592"/>
      <c r="E6" s="22" t="e">
        <f>Навыки!P11+Стимуляторы!I4+Стимуляторы!I7+Стимуляторы!I8+#REF!+#REF!+#REF!+#REF!</f>
        <v>#REF!</v>
      </c>
      <c r="F6" s="1784"/>
      <c r="G6" s="1785"/>
      <c r="H6" s="1786"/>
      <c r="I6" s="23" t="s">
        <v>45</v>
      </c>
      <c r="J6" s="73">
        <v>0</v>
      </c>
      <c r="K6" s="1591" t="s">
        <v>299</v>
      </c>
      <c r="L6" s="1592"/>
      <c r="M6" s="169">
        <v>0</v>
      </c>
    </row>
    <row r="7" spans="1:13" x14ac:dyDescent="0.25">
      <c r="A7" s="1595" t="s">
        <v>67</v>
      </c>
      <c r="B7" s="1596"/>
      <c r="C7" s="1595" t="s">
        <v>31</v>
      </c>
      <c r="D7" s="1596"/>
      <c r="E7" s="27" t="e">
        <f>FLOOR(Навыки!#REF!+(Навыки!#REF!*(Стимуляторы!A34+Стимуляторы!D16+Стимуляторы!D17+Стимуляторы!D18)),1)</f>
        <v>#REF!</v>
      </c>
      <c r="F7" s="1804"/>
      <c r="G7" s="1805"/>
      <c r="H7" s="1806"/>
      <c r="I7" s="1595" t="s">
        <v>67</v>
      </c>
      <c r="J7" s="1596"/>
      <c r="K7" s="1595" t="s">
        <v>31</v>
      </c>
      <c r="L7" s="1596"/>
      <c r="M7" s="1070">
        <v>0</v>
      </c>
    </row>
    <row r="8" spans="1:13" x14ac:dyDescent="0.25">
      <c r="A8" s="33"/>
      <c r="B8" s="1595" t="s">
        <v>298</v>
      </c>
      <c r="C8" s="1597"/>
      <c r="D8" s="1595" t="s">
        <v>301</v>
      </c>
      <c r="E8" s="1597"/>
      <c r="F8" s="1795"/>
      <c r="G8" s="1796"/>
      <c r="H8" s="1797"/>
      <c r="I8" s="33"/>
      <c r="J8" s="1595" t="s">
        <v>298</v>
      </c>
      <c r="K8" s="1597"/>
      <c r="L8" s="1595" t="s">
        <v>301</v>
      </c>
      <c r="M8" s="1596"/>
    </row>
    <row r="9" spans="1:13" x14ac:dyDescent="0.25">
      <c r="A9" s="23" t="s">
        <v>71</v>
      </c>
      <c r="B9" s="21" t="e">
        <f>Навыки!M15+(Примерочная!V6*(Стимуляторы!E4+Стимуляторы!E7+Стимуляторы!E8+#REF!+Стимуляторы!D35+Стимуляторы!D36+Стимуляторы!D37))</f>
        <v>#REF!</v>
      </c>
      <c r="C9" s="21" t="e">
        <f>Навыки!N15+(Примерочная!W6*(Стимуляторы!E4+Стимуляторы!E7+Стимуляторы!E8+#REF!+Стимуляторы!D35+Стимуляторы!D36+Стимуляторы!D37))</f>
        <v>#REF!</v>
      </c>
      <c r="D9" s="21" t="e">
        <f>Навыки!O15+(Примерочная!V6*(Стимуляторы!E4+Стимуляторы!E7+Стимуляторы!E8+#REF!+Стимуляторы!D35+Стимуляторы!D36+Стимуляторы!D37))</f>
        <v>#REF!</v>
      </c>
      <c r="E9" s="21" t="e">
        <f>Навыки!P15+(Примерочная!W6*(Стимуляторы!E4+Стимуляторы!E7+Стимуляторы!E8+#REF!+Стимуляторы!D35+Стимуляторы!D36+Стимуляторы!D37))</f>
        <v>#REF!</v>
      </c>
      <c r="F9" s="1798"/>
      <c r="G9" s="1799"/>
      <c r="H9" s="1800"/>
      <c r="I9" s="23" t="s">
        <v>71</v>
      </c>
      <c r="J9" s="74">
        <v>160</v>
      </c>
      <c r="K9" s="74">
        <v>194</v>
      </c>
      <c r="L9" s="74">
        <v>0</v>
      </c>
      <c r="M9" s="74">
        <v>0</v>
      </c>
    </row>
    <row r="10" spans="1:13" x14ac:dyDescent="0.25">
      <c r="A10" s="23" t="s">
        <v>300</v>
      </c>
      <c r="B10" s="1780" t="e">
        <f>Навыки!M16+(Примерочная!Y6*(Стимуляторы!E4+Стимуляторы!E7+Стимуляторы!E8+#REF!+Стимуляторы!D35+Стимуляторы!D36+Стимуляторы!D37))</f>
        <v>#REF!</v>
      </c>
      <c r="C10" s="1781"/>
      <c r="D10" s="1780" t="e">
        <f>Навыки!O16+(Примерочная!Y6*(Стимуляторы!E4+Стимуляторы!E7+Стимуляторы!E8+#REF!+Стимуляторы!D35+Стимуляторы!D36+Стимуляторы!D37))</f>
        <v>#REF!</v>
      </c>
      <c r="E10" s="1781"/>
      <c r="F10" s="1784" t="s">
        <v>354</v>
      </c>
      <c r="G10" s="1785"/>
      <c r="H10" s="1786"/>
      <c r="I10" s="23" t="s">
        <v>300</v>
      </c>
      <c r="J10" s="1790">
        <v>0</v>
      </c>
      <c r="K10" s="1791"/>
      <c r="L10" s="1790">
        <v>0</v>
      </c>
      <c r="M10" s="1791"/>
    </row>
    <row r="11" spans="1:13" x14ac:dyDescent="0.25">
      <c r="A11" s="23" t="s">
        <v>375</v>
      </c>
      <c r="B11" s="1780" t="e">
        <f>Навыки!M17+(Примерочная!X6*(#REF!+#REF!+#REF!+#REF!))</f>
        <v>#REF!</v>
      </c>
      <c r="C11" s="1781"/>
      <c r="D11" s="1780" t="e">
        <f>Навыки!O17+(Примерочная!X6*(#REF!+#REF!+#REF!+#REF!))</f>
        <v>#REF!</v>
      </c>
      <c r="E11" s="1781"/>
      <c r="F11" s="1787">
        <f>IFERROR(E2/H3,0)</f>
        <v>0</v>
      </c>
      <c r="G11" s="1788"/>
      <c r="H11" s="1789"/>
      <c r="I11" s="23" t="s">
        <v>375</v>
      </c>
      <c r="J11" s="1790">
        <v>0</v>
      </c>
      <c r="K11" s="1791"/>
      <c r="L11" s="1790">
        <v>0</v>
      </c>
      <c r="M11" s="1791"/>
    </row>
    <row r="12" spans="1:13" x14ac:dyDescent="0.25">
      <c r="A12" s="34"/>
      <c r="B12" s="35" t="s">
        <v>31</v>
      </c>
      <c r="C12" s="35" t="s">
        <v>69</v>
      </c>
      <c r="D12" s="1782" t="s">
        <v>70</v>
      </c>
      <c r="E12" s="1783"/>
      <c r="F12" s="1784" t="s">
        <v>355</v>
      </c>
      <c r="G12" s="1785"/>
      <c r="H12" s="1786"/>
      <c r="I12" s="34"/>
      <c r="J12" s="35" t="s">
        <v>31</v>
      </c>
      <c r="K12" s="35" t="s">
        <v>69</v>
      </c>
      <c r="L12" s="1621" t="s">
        <v>70</v>
      </c>
      <c r="M12" s="1622"/>
    </row>
    <row r="13" spans="1:13" x14ac:dyDescent="0.25">
      <c r="A13" s="33">
        <v>1</v>
      </c>
      <c r="B13" s="36" t="e">
        <f>Навыки!#REF!</f>
        <v>#REF!</v>
      </c>
      <c r="C13" s="37" t="e">
        <f>(Навыки!M19+Примерочная!#REF!*(Стимуляторы!F4+Стимуляторы!F7+Стимуляторы!F8+#REF!+#REF!+#REF!+#REF!))/100</f>
        <v>#REF!</v>
      </c>
      <c r="D13" s="33">
        <f>Навыки!O19</f>
        <v>2</v>
      </c>
      <c r="E13" s="33">
        <f>Навыки!P19</f>
        <v>9.9899999999999984</v>
      </c>
      <c r="F13" s="1778">
        <f>IFERROR(M2/H5,0)</f>
        <v>0</v>
      </c>
      <c r="G13" s="1778"/>
      <c r="H13" s="1779"/>
      <c r="I13" s="33">
        <v>1</v>
      </c>
      <c r="J13" s="75"/>
      <c r="K13" s="72"/>
      <c r="L13" s="72"/>
      <c r="M13" s="71"/>
    </row>
    <row r="14" spans="1:13" x14ac:dyDescent="0.25">
      <c r="A14" s="33">
        <v>2</v>
      </c>
      <c r="B14" s="36" t="e">
        <f>Навыки!#REF!</f>
        <v>#REF!</v>
      </c>
      <c r="C14" s="37" t="e">
        <f>(Навыки!M20+Примерочная!Z6*(Стимуляторы!F4+Стимуляторы!F7+Стимуляторы!F8+#REF!+#REF!+#REF!+#REF!))/100</f>
        <v>#REF!</v>
      </c>
      <c r="D14" s="33">
        <f>Навыки!O20</f>
        <v>6</v>
      </c>
      <c r="E14" s="33">
        <f>Навыки!P20</f>
        <v>17.759999999999998</v>
      </c>
      <c r="F14" s="19"/>
      <c r="G14" s="19"/>
      <c r="H14" s="19"/>
      <c r="I14" s="33">
        <v>2</v>
      </c>
      <c r="J14" s="75"/>
      <c r="K14" s="74"/>
      <c r="L14" s="72"/>
      <c r="M14" s="71"/>
    </row>
    <row r="15" spans="1:13" x14ac:dyDescent="0.25">
      <c r="A15" s="33">
        <v>3</v>
      </c>
      <c r="B15" s="36" t="e">
        <f>Навыки!#REF!</f>
        <v>#REF!</v>
      </c>
      <c r="C15" s="33">
        <f>Навыки!M21</f>
        <v>0</v>
      </c>
      <c r="D15" s="33">
        <f>Навыки!O21</f>
        <v>0</v>
      </c>
      <c r="E15" s="33">
        <f>Навыки!P21</f>
        <v>0</v>
      </c>
      <c r="F15" s="19"/>
      <c r="G15" s="19"/>
      <c r="H15" s="19"/>
      <c r="I15" s="33">
        <v>3</v>
      </c>
      <c r="J15" s="75"/>
      <c r="K15" s="74"/>
      <c r="L15" s="72"/>
      <c r="M15" s="71"/>
    </row>
  </sheetData>
  <mergeCells count="38">
    <mergeCell ref="A1:E1"/>
    <mergeCell ref="I1:M1"/>
    <mergeCell ref="A7:B7"/>
    <mergeCell ref="C7:D7"/>
    <mergeCell ref="F7:H7"/>
    <mergeCell ref="K2:L2"/>
    <mergeCell ref="K4:L4"/>
    <mergeCell ref="K5:L5"/>
    <mergeCell ref="K6:L6"/>
    <mergeCell ref="I7:J7"/>
    <mergeCell ref="K7:L7"/>
    <mergeCell ref="C2:D2"/>
    <mergeCell ref="F6:H6"/>
    <mergeCell ref="B10:C10"/>
    <mergeCell ref="D10:E10"/>
    <mergeCell ref="F10:H10"/>
    <mergeCell ref="F2:H2"/>
    <mergeCell ref="F4:H4"/>
    <mergeCell ref="F8:H8"/>
    <mergeCell ref="F9:H9"/>
    <mergeCell ref="C4:D4"/>
    <mergeCell ref="C5:D5"/>
    <mergeCell ref="C6:D6"/>
    <mergeCell ref="B8:C8"/>
    <mergeCell ref="D8:E8"/>
    <mergeCell ref="L12:M12"/>
    <mergeCell ref="J10:K10"/>
    <mergeCell ref="L10:M10"/>
    <mergeCell ref="J11:K11"/>
    <mergeCell ref="J8:K8"/>
    <mergeCell ref="L8:M8"/>
    <mergeCell ref="L11:M11"/>
    <mergeCell ref="F13:H13"/>
    <mergeCell ref="B11:C11"/>
    <mergeCell ref="D11:E11"/>
    <mergeCell ref="D12:E12"/>
    <mergeCell ref="F12:H12"/>
    <mergeCell ref="F11:H11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7"/>
  <dimension ref="A1:BI150"/>
  <sheetViews>
    <sheetView showGridLines="0" topLeftCell="A25" zoomScale="60" zoomScaleNormal="60" workbookViewId="0">
      <selection activeCell="AF36" sqref="A1:XFD1048576"/>
    </sheetView>
  </sheetViews>
  <sheetFormatPr defaultColWidth="13.7109375" defaultRowHeight="15.75" x14ac:dyDescent="0.25"/>
  <cols>
    <col min="1" max="1" width="14.7109375" style="476" customWidth="1"/>
    <col min="2" max="2" width="12.85546875" style="9" customWidth="1"/>
    <col min="3" max="3" width="13.7109375" style="9" customWidth="1"/>
    <col min="4" max="4" width="13.7109375" style="435" customWidth="1"/>
    <col min="5" max="5" width="13.7109375" style="9"/>
    <col min="6" max="6" width="13.7109375" style="437" customWidth="1"/>
    <col min="7" max="7" width="13.7109375" style="365"/>
    <col min="8" max="8" width="13.7109375" style="353" customWidth="1"/>
    <col min="9" max="9" width="13.7109375" style="354" customWidth="1"/>
    <col min="10" max="10" width="13.7109375" style="438" customWidth="1"/>
    <col min="11" max="11" width="13.7109375" style="9" customWidth="1"/>
    <col min="12" max="12" width="13.7109375" style="438" customWidth="1"/>
    <col min="13" max="13" width="13.7109375" style="9"/>
    <col min="14" max="14" width="13.7109375" style="438" customWidth="1"/>
    <col min="15" max="15" width="13.7109375" style="427"/>
    <col min="16" max="16" width="13.7109375" style="427" customWidth="1"/>
    <col min="17" max="17" width="13.7109375" style="427"/>
    <col min="18" max="24" width="13.7109375" style="9"/>
    <col min="25" max="25" width="13.7109375" style="9" customWidth="1"/>
    <col min="26" max="32" width="13.7109375" style="9"/>
    <col min="33" max="33" width="13.7109375" style="9" customWidth="1"/>
    <col min="34" max="34" width="13.7109375" style="9"/>
    <col min="35" max="50" width="13.7109375" style="9" customWidth="1"/>
    <col min="51" max="16384" width="13.7109375" style="9"/>
  </cols>
  <sheetData>
    <row r="1" spans="1:54" s="359" customFormat="1" ht="33" customHeight="1" x14ac:dyDescent="0.25">
      <c r="A1" s="407" t="s">
        <v>324</v>
      </c>
      <c r="B1" s="408" t="s">
        <v>598</v>
      </c>
      <c r="C1" s="409" t="s">
        <v>0</v>
      </c>
      <c r="D1" s="410" t="s">
        <v>337</v>
      </c>
      <c r="E1" s="409" t="s">
        <v>1</v>
      </c>
      <c r="F1" s="411" t="s">
        <v>343</v>
      </c>
      <c r="G1" s="373" t="s">
        <v>7</v>
      </c>
      <c r="H1" s="374" t="s">
        <v>8</v>
      </c>
      <c r="I1" s="375" t="s">
        <v>321</v>
      </c>
      <c r="J1" s="410" t="s">
        <v>344</v>
      </c>
      <c r="K1" s="409" t="s">
        <v>322</v>
      </c>
      <c r="L1" s="410" t="s">
        <v>347</v>
      </c>
      <c r="M1" s="409" t="s">
        <v>323</v>
      </c>
      <c r="N1" s="410" t="s">
        <v>348</v>
      </c>
      <c r="O1" s="412" t="s">
        <v>45</v>
      </c>
      <c r="P1" s="413" t="s">
        <v>50</v>
      </c>
      <c r="Q1" s="483" t="s">
        <v>602</v>
      </c>
      <c r="R1" s="439" t="s">
        <v>332</v>
      </c>
      <c r="S1" s="501" t="s">
        <v>600</v>
      </c>
      <c r="T1" s="502" t="s">
        <v>133</v>
      </c>
      <c r="U1" s="501" t="s">
        <v>603</v>
      </c>
      <c r="V1" s="503" t="s">
        <v>333</v>
      </c>
      <c r="W1" s="482" t="s">
        <v>501</v>
      </c>
      <c r="X1" s="482" t="s">
        <v>502</v>
      </c>
      <c r="Y1" s="482" t="s">
        <v>503</v>
      </c>
      <c r="Z1" s="408" t="s">
        <v>504</v>
      </c>
      <c r="AB1" s="1011" t="s">
        <v>324</v>
      </c>
      <c r="AC1" s="1010" t="s">
        <v>662</v>
      </c>
      <c r="AD1" s="1012" t="s">
        <v>672</v>
      </c>
      <c r="AE1" s="1010" t="s">
        <v>663</v>
      </c>
      <c r="AF1" s="1012" t="s">
        <v>673</v>
      </c>
      <c r="AG1" s="1010" t="s">
        <v>664</v>
      </c>
      <c r="AH1" s="1012" t="s">
        <v>674</v>
      </c>
      <c r="AI1" s="1010" t="s">
        <v>665</v>
      </c>
      <c r="AJ1" s="1012" t="s">
        <v>675</v>
      </c>
      <c r="AK1" s="1010" t="s">
        <v>666</v>
      </c>
      <c r="AL1" s="1012" t="s">
        <v>676</v>
      </c>
      <c r="AM1" s="1010" t="s">
        <v>667</v>
      </c>
      <c r="AN1" s="1012" t="s">
        <v>677</v>
      </c>
      <c r="AO1" s="1010" t="s">
        <v>668</v>
      </c>
      <c r="AP1" s="1012" t="s">
        <v>678</v>
      </c>
      <c r="AQ1" s="1010" t="s">
        <v>669</v>
      </c>
      <c r="AR1" s="1025" t="s">
        <v>679</v>
      </c>
      <c r="AS1" s="1010" t="s">
        <v>670</v>
      </c>
      <c r="AT1" s="1012" t="s">
        <v>680</v>
      </c>
      <c r="AU1" s="1010" t="s">
        <v>671</v>
      </c>
      <c r="AV1" s="1025" t="s">
        <v>681</v>
      </c>
      <c r="AW1" s="1010" t="s">
        <v>910</v>
      </c>
      <c r="AX1" s="1012" t="s">
        <v>911</v>
      </c>
      <c r="AY1" s="1010" t="s">
        <v>912</v>
      </c>
      <c r="AZ1" s="1012" t="s">
        <v>913</v>
      </c>
      <c r="BA1" s="1499" t="s">
        <v>914</v>
      </c>
      <c r="BB1" s="1498" t="s">
        <v>915</v>
      </c>
    </row>
    <row r="2" spans="1:54" ht="33" customHeight="1" x14ac:dyDescent="0.25">
      <c r="A2" s="414" t="s">
        <v>562</v>
      </c>
      <c r="B2" s="415"/>
      <c r="C2" s="416">
        <v>0</v>
      </c>
      <c r="D2" s="515">
        <v>0</v>
      </c>
      <c r="E2" s="417">
        <v>0</v>
      </c>
      <c r="F2" s="519">
        <v>0</v>
      </c>
      <c r="G2" s="376">
        <v>0</v>
      </c>
      <c r="H2" s="382">
        <v>0</v>
      </c>
      <c r="I2" s="368">
        <v>0</v>
      </c>
      <c r="J2" s="515">
        <v>0</v>
      </c>
      <c r="K2" s="417">
        <v>0</v>
      </c>
      <c r="L2" s="515">
        <v>0</v>
      </c>
      <c r="M2" s="417">
        <v>0</v>
      </c>
      <c r="N2" s="515">
        <v>0</v>
      </c>
      <c r="O2" s="418">
        <v>0</v>
      </c>
      <c r="P2" s="419">
        <v>0</v>
      </c>
      <c r="Q2" s="512">
        <v>0</v>
      </c>
      <c r="R2" s="488">
        <v>0</v>
      </c>
      <c r="S2" s="508">
        <v>0</v>
      </c>
      <c r="T2" s="489">
        <v>0</v>
      </c>
      <c r="U2" s="504">
        <v>0</v>
      </c>
      <c r="V2" s="484">
        <v>0</v>
      </c>
      <c r="W2" s="401">
        <v>0</v>
      </c>
      <c r="X2" s="401">
        <v>0</v>
      </c>
      <c r="Y2" s="401">
        <v>0</v>
      </c>
      <c r="Z2" s="394">
        <v>0</v>
      </c>
      <c r="AB2" s="985" t="s">
        <v>562</v>
      </c>
      <c r="AC2" s="986">
        <v>0</v>
      </c>
      <c r="AD2" s="1014">
        <v>0</v>
      </c>
      <c r="AE2" s="986">
        <v>0</v>
      </c>
      <c r="AF2" s="1014">
        <v>0</v>
      </c>
      <c r="AG2" s="986">
        <v>0</v>
      </c>
      <c r="AH2" s="1014">
        <v>0</v>
      </c>
      <c r="AI2" s="986">
        <v>0</v>
      </c>
      <c r="AJ2" s="1014">
        <v>0</v>
      </c>
      <c r="AK2" s="986">
        <v>0</v>
      </c>
      <c r="AL2" s="1014">
        <v>0</v>
      </c>
      <c r="AM2" s="986">
        <v>0</v>
      </c>
      <c r="AN2" s="1014">
        <v>0</v>
      </c>
      <c r="AO2" s="986">
        <v>0</v>
      </c>
      <c r="AP2" s="1014">
        <v>0</v>
      </c>
      <c r="AQ2" s="986">
        <v>0</v>
      </c>
      <c r="AR2" s="1014">
        <v>0</v>
      </c>
      <c r="AS2" s="986">
        <v>0</v>
      </c>
      <c r="AT2" s="1031">
        <v>0</v>
      </c>
      <c r="AU2" s="986">
        <v>0</v>
      </c>
      <c r="AV2" s="1014">
        <v>0</v>
      </c>
      <c r="AW2" s="1512">
        <v>0</v>
      </c>
      <c r="AX2" s="1513">
        <v>0</v>
      </c>
      <c r="AY2" s="1512">
        <v>0</v>
      </c>
      <c r="AZ2" s="1513">
        <v>0</v>
      </c>
      <c r="BA2" s="1511">
        <v>0</v>
      </c>
      <c r="BB2" s="1510">
        <v>0</v>
      </c>
    </row>
    <row r="3" spans="1:54" ht="33" customHeight="1" x14ac:dyDescent="0.25">
      <c r="A3" s="492"/>
      <c r="B3" s="493">
        <v>2</v>
      </c>
      <c r="C3" s="492">
        <v>3</v>
      </c>
      <c r="D3" s="516">
        <v>4</v>
      </c>
      <c r="E3" s="492">
        <v>5</v>
      </c>
      <c r="F3" s="516">
        <v>6</v>
      </c>
      <c r="G3" s="494">
        <v>7</v>
      </c>
      <c r="H3" s="495">
        <v>8</v>
      </c>
      <c r="I3" s="492">
        <v>9</v>
      </c>
      <c r="J3" s="518">
        <v>10</v>
      </c>
      <c r="K3" s="496">
        <v>11</v>
      </c>
      <c r="L3" s="516">
        <v>12</v>
      </c>
      <c r="M3" s="496">
        <v>13</v>
      </c>
      <c r="N3" s="516">
        <v>14</v>
      </c>
      <c r="O3" s="497">
        <v>15</v>
      </c>
      <c r="P3" s="496">
        <v>16</v>
      </c>
      <c r="Q3" s="513">
        <v>17</v>
      </c>
      <c r="R3" s="499">
        <v>18</v>
      </c>
      <c r="S3" s="509">
        <v>19</v>
      </c>
      <c r="T3" s="499">
        <v>20</v>
      </c>
      <c r="U3" s="505">
        <v>21</v>
      </c>
      <c r="V3" s="492">
        <v>22</v>
      </c>
      <c r="W3" s="500">
        <v>23</v>
      </c>
      <c r="X3" s="500">
        <v>24</v>
      </c>
      <c r="Y3" s="500">
        <v>25</v>
      </c>
      <c r="Z3" s="498">
        <v>26</v>
      </c>
      <c r="AB3" s="985"/>
      <c r="AC3" s="1013"/>
      <c r="AD3" s="990"/>
      <c r="AE3" s="1014"/>
      <c r="AF3" s="990"/>
      <c r="AG3" s="1014"/>
      <c r="AH3" s="990"/>
      <c r="AI3" s="1021"/>
      <c r="AJ3" s="990"/>
      <c r="AK3" s="1022"/>
      <c r="AL3" s="1023"/>
      <c r="AM3" s="1024"/>
      <c r="AN3" s="989"/>
      <c r="AO3" s="1021"/>
      <c r="AP3" s="990"/>
      <c r="AQ3" s="1021"/>
      <c r="AR3" s="1026"/>
      <c r="AS3" s="1024"/>
      <c r="AT3" s="990"/>
      <c r="AU3" s="1021"/>
      <c r="AV3" s="1026"/>
      <c r="AW3" s="1500"/>
      <c r="AX3" s="1514"/>
      <c r="AY3" s="1500"/>
      <c r="AZ3" s="1514"/>
      <c r="BA3" s="985"/>
      <c r="BB3" s="1516"/>
    </row>
    <row r="4" spans="1:54" ht="33" customHeight="1" x14ac:dyDescent="0.25">
      <c r="A4" s="394" t="s">
        <v>9</v>
      </c>
      <c r="B4" s="415"/>
      <c r="C4" s="416">
        <v>-1</v>
      </c>
      <c r="D4" s="515">
        <f>Примерочная!$N$7*VLOOKUP(Таблица_шлемы[[#This Row],[название]],Таблица_моды_шлемы[],4,0)+Примерочная!$M$7*VLOOKUP(Таблица_шлемы[[#This Row],[название]],Таблица_моды_шлемы[],5,0)</f>
        <v>0</v>
      </c>
      <c r="E4" s="417">
        <v>3</v>
      </c>
      <c r="F4" s="519">
        <f>Таблица_шлемы[[#This Row],[защита]]*(Примерочная!$J$7*VLOOKUP(Таблица_шлемы[[#This Row],[название]],Таблица_моды_шлемы[],2,0)+Примерочная!$O$7*VLOOKUP(Таблица_шлемы[[#This Row],[название]],Таблица_моды_шлемы[],3,0))</f>
        <v>0</v>
      </c>
      <c r="G4" s="377">
        <v>10</v>
      </c>
      <c r="H4" s="384">
        <v>10</v>
      </c>
      <c r="I4" s="363">
        <v>4</v>
      </c>
      <c r="J4" s="515">
        <f>Примерочная!$O$7*VLOOKUP(Таблица_шлемы[[#This Row],[название]],Таблица_моды_шлемы[],6,0)</f>
        <v>0</v>
      </c>
      <c r="K4" s="417">
        <v>2</v>
      </c>
      <c r="L4" s="515">
        <f>Примерочная!$M$7*VLOOKUP(Таблица_шлемы[[#This Row],[название]],Таблица_моды_шлемы[],9,0)+Примерочная!$N$7*VLOOKUP(Таблица_шлемы[[#This Row],[название]],Таблица_моды_шлемы[],10,0)</f>
        <v>0</v>
      </c>
      <c r="M4" s="417">
        <v>2</v>
      </c>
      <c r="N4" s="515">
        <f>Примерочная!$L$7*VLOOKUP(Таблица_шлемы[[#This Row],[название]],Таблица_моды_шлемы[],11,0)</f>
        <v>0</v>
      </c>
      <c r="O4" s="425">
        <v>0</v>
      </c>
      <c r="P4" s="423">
        <v>0</v>
      </c>
      <c r="Q4" s="514">
        <f>Примерочная!$L$7*VLOOKUP(Таблица_шлемы[[#This Row],[название]],Таблица_моды_шлемы[],12,0)</f>
        <v>0</v>
      </c>
      <c r="R4" s="172">
        <v>0</v>
      </c>
      <c r="S4" s="510">
        <f>Примерочная!$K$7*VLOOKUP(Таблица_шлемы[[#This Row],[название]],Таблица_моды_шлемы[],13,0)</f>
        <v>0</v>
      </c>
      <c r="T4" s="490">
        <v>0</v>
      </c>
      <c r="U4" s="506">
        <f>Примерочная!$K$7*VLOOKUP(Таблица_шлемы[[#This Row],[название]],Таблица_моды_шлемы[],14,0)</f>
        <v>0</v>
      </c>
      <c r="V4" s="485">
        <v>0</v>
      </c>
      <c r="W4" s="394">
        <v>1</v>
      </c>
      <c r="X4" s="394"/>
      <c r="Y4" s="394"/>
      <c r="Z4" s="424">
        <v>7</v>
      </c>
      <c r="AB4" s="993" t="s">
        <v>9</v>
      </c>
      <c r="AC4" s="986" t="s">
        <v>10</v>
      </c>
      <c r="AD4" s="988">
        <v>0.18</v>
      </c>
      <c r="AE4" s="986" t="s">
        <v>12</v>
      </c>
      <c r="AF4" s="988">
        <v>0.18</v>
      </c>
      <c r="AG4" s="986" t="s">
        <v>11</v>
      </c>
      <c r="AH4" s="990">
        <v>-4</v>
      </c>
      <c r="AI4" s="986" t="s">
        <v>585</v>
      </c>
      <c r="AJ4" s="990">
        <v>1</v>
      </c>
      <c r="AK4" s="986" t="s">
        <v>35</v>
      </c>
      <c r="AL4" s="989" t="s">
        <v>583</v>
      </c>
      <c r="AM4" s="986" t="str">
        <f>""</f>
        <v/>
      </c>
      <c r="AN4" s="990" t="str">
        <f>""</f>
        <v/>
      </c>
      <c r="AO4" s="986" t="str">
        <f>""</f>
        <v/>
      </c>
      <c r="AP4" s="990" t="str">
        <f>""</f>
        <v/>
      </c>
      <c r="AQ4" s="986"/>
      <c r="AR4" s="1027"/>
      <c r="AS4" s="986"/>
      <c r="AT4" s="989"/>
      <c r="AU4" s="986"/>
      <c r="AV4" s="1027"/>
      <c r="AW4" s="1500"/>
      <c r="AX4" s="1514"/>
      <c r="AY4" s="1500"/>
      <c r="AZ4" s="1514"/>
      <c r="BA4" s="985"/>
      <c r="BB4" s="1516"/>
    </row>
    <row r="5" spans="1:54" ht="33" customHeight="1" x14ac:dyDescent="0.25">
      <c r="A5" s="394" t="s">
        <v>13</v>
      </c>
      <c r="B5" s="415"/>
      <c r="C5" s="416">
        <v>-1</v>
      </c>
      <c r="D5" s="515">
        <f>Примерочная!$N$7*VLOOKUP(Таблица_шлемы[[#This Row],[название]],Таблица_моды_шлемы[],4,0)+Примерочная!$M$7*VLOOKUP(Таблица_шлемы[[#This Row],[название]],Таблица_моды_шлемы[],5,0)</f>
        <v>0</v>
      </c>
      <c r="E5" s="417">
        <v>4</v>
      </c>
      <c r="F5" s="519">
        <f>Таблица_шлемы[[#This Row],[защита]]*(Примерочная!$J$7*VLOOKUP(Таблица_шлемы[[#This Row],[название]],Таблица_моды_шлемы[],2,0)+Примерочная!$O$7*VLOOKUP(Таблица_шлемы[[#This Row],[название]],Таблица_моды_шлемы[],3,0))</f>
        <v>0</v>
      </c>
      <c r="G5" s="378">
        <v>10</v>
      </c>
      <c r="H5" s="383">
        <v>10</v>
      </c>
      <c r="I5" s="356">
        <v>4</v>
      </c>
      <c r="J5" s="515">
        <f>Примерочная!$O$7*VLOOKUP(Таблица_шлемы[[#This Row],[название]],Таблица_моды_шлемы[],6,0)</f>
        <v>0</v>
      </c>
      <c r="K5" s="417">
        <v>2</v>
      </c>
      <c r="L5" s="515">
        <f>Примерочная!$M$7*VLOOKUP(Таблица_шлемы[[#This Row],[название]],Таблица_моды_шлемы[],9,0)+Примерочная!$N$7*VLOOKUP(Таблица_шлемы[[#This Row],[название]],Таблица_моды_шлемы[],10,0)</f>
        <v>0</v>
      </c>
      <c r="M5" s="417">
        <v>2</v>
      </c>
      <c r="N5" s="515">
        <f>Примерочная!$L$7*VLOOKUP(Таблица_шлемы[[#This Row],[название]],Таблица_моды_шлемы[],11,0)</f>
        <v>0</v>
      </c>
      <c r="O5" s="425">
        <v>0</v>
      </c>
      <c r="P5" s="423">
        <v>0</v>
      </c>
      <c r="Q5" s="514">
        <f>Примерочная!$L$7*VLOOKUP(Таблица_шлемы[[#This Row],[название]],Таблица_моды_шлемы[],12,0)</f>
        <v>0</v>
      </c>
      <c r="R5" s="172">
        <v>0</v>
      </c>
      <c r="S5" s="510">
        <f>Примерочная!$K$7*VLOOKUP(Таблица_шлемы[[#This Row],[название]],Таблица_моды_шлемы[],13,0)</f>
        <v>0</v>
      </c>
      <c r="T5" s="490">
        <v>0</v>
      </c>
      <c r="U5" s="506">
        <f>Примерочная!$K$7*VLOOKUP(Таблица_шлемы[[#This Row],[название]],Таблица_моды_шлемы[],14,0)</f>
        <v>0</v>
      </c>
      <c r="V5" s="485">
        <v>0</v>
      </c>
      <c r="W5" s="394">
        <v>5</v>
      </c>
      <c r="X5" s="394"/>
      <c r="Y5" s="394"/>
      <c r="Z5" s="424">
        <v>7</v>
      </c>
      <c r="AB5" s="993" t="s">
        <v>13</v>
      </c>
      <c r="AC5" s="986" t="s">
        <v>10</v>
      </c>
      <c r="AD5" s="989">
        <v>0.2</v>
      </c>
      <c r="AE5" s="986" t="s">
        <v>12</v>
      </c>
      <c r="AF5" s="989">
        <v>0.2</v>
      </c>
      <c r="AG5" s="986" t="s">
        <v>11</v>
      </c>
      <c r="AH5" s="990">
        <v>-4</v>
      </c>
      <c r="AI5" s="986" t="s">
        <v>585</v>
      </c>
      <c r="AJ5" s="990">
        <v>1</v>
      </c>
      <c r="AK5" s="986" t="s">
        <v>35</v>
      </c>
      <c r="AL5" s="990" t="s">
        <v>586</v>
      </c>
      <c r="AM5" s="986" t="str">
        <f>""</f>
        <v/>
      </c>
      <c r="AN5" s="990" t="str">
        <f>""</f>
        <v/>
      </c>
      <c r="AO5" s="986" t="str">
        <f>""</f>
        <v/>
      </c>
      <c r="AP5" s="990" t="str">
        <f>""</f>
        <v/>
      </c>
      <c r="AQ5" s="986"/>
      <c r="AR5" s="1027"/>
      <c r="AS5" s="986"/>
      <c r="AT5" s="990"/>
      <c r="AU5" s="986"/>
      <c r="AV5" s="1026"/>
      <c r="AW5" s="1500"/>
      <c r="AX5" s="1514"/>
      <c r="AY5" s="1500"/>
      <c r="AZ5" s="1514"/>
      <c r="BA5" s="985"/>
      <c r="BB5" s="1516"/>
    </row>
    <row r="6" spans="1:54" ht="33" customHeight="1" x14ac:dyDescent="0.25">
      <c r="A6" s="394" t="s">
        <v>14</v>
      </c>
      <c r="B6" s="415"/>
      <c r="C6" s="416">
        <v>-2</v>
      </c>
      <c r="D6" s="515">
        <f>Примерочная!$N$7*VLOOKUP(Таблица_шлемы[[#This Row],[название]],Таблица_моды_шлемы[],4,0)+Примерочная!$M$7*VLOOKUP(Таблица_шлемы[[#This Row],[название]],Таблица_моды_шлемы[],5,0)</f>
        <v>0</v>
      </c>
      <c r="E6" s="417">
        <v>6</v>
      </c>
      <c r="F6" s="519">
        <f>Таблица_шлемы[[#This Row],[защита]]*(Примерочная!$J$7*VLOOKUP(Таблица_шлемы[[#This Row],[название]],Таблица_моды_шлемы[],2,0)+Примерочная!$O$7*VLOOKUP(Таблица_шлемы[[#This Row],[название]],Таблица_моды_шлемы[],3,0))</f>
        <v>0</v>
      </c>
      <c r="G6" s="378">
        <v>10</v>
      </c>
      <c r="H6" s="355">
        <v>10</v>
      </c>
      <c r="I6" s="356">
        <v>4</v>
      </c>
      <c r="J6" s="515">
        <f>Примерочная!$O$7*VLOOKUP(Таблица_шлемы[[#This Row],[название]],Таблица_моды_шлемы[],6,0)</f>
        <v>0</v>
      </c>
      <c r="K6" s="417">
        <v>2</v>
      </c>
      <c r="L6" s="515">
        <f>Примерочная!$M$7*VLOOKUP(Таблица_шлемы[[#This Row],[название]],Таблица_моды_шлемы[],9,0)+Примерочная!$N$7*VLOOKUP(Таблица_шлемы[[#This Row],[название]],Таблица_моды_шлемы[],10,0)</f>
        <v>0</v>
      </c>
      <c r="M6" s="417">
        <v>2</v>
      </c>
      <c r="N6" s="515">
        <f>Примерочная!$L$7*VLOOKUP(Таблица_шлемы[[#This Row],[название]],Таблица_моды_шлемы[],11,0)</f>
        <v>0</v>
      </c>
      <c r="O6" s="425">
        <v>0</v>
      </c>
      <c r="P6" s="423">
        <v>0</v>
      </c>
      <c r="Q6" s="514">
        <f>Примерочная!$L$7*VLOOKUP(Таблица_шлемы[[#This Row],[название]],Таблица_моды_шлемы[],12,0)</f>
        <v>0</v>
      </c>
      <c r="R6" s="172">
        <v>0</v>
      </c>
      <c r="S6" s="510">
        <f>Примерочная!$K$7*VLOOKUP(Таблица_шлемы[[#This Row],[название]],Таблица_моды_шлемы[],13,0)</f>
        <v>0</v>
      </c>
      <c r="T6" s="490">
        <v>0</v>
      </c>
      <c r="U6" s="506">
        <f>Примерочная!$K$7*VLOOKUP(Таблица_шлемы[[#This Row],[название]],Таблица_моды_шлемы[],14,0)</f>
        <v>0</v>
      </c>
      <c r="V6" s="485">
        <v>0</v>
      </c>
      <c r="W6" s="394">
        <v>10</v>
      </c>
      <c r="X6" s="394"/>
      <c r="Y6" s="394"/>
      <c r="Z6" s="424">
        <v>7</v>
      </c>
      <c r="AB6" s="993" t="s">
        <v>14</v>
      </c>
      <c r="AC6" s="986" t="s">
        <v>10</v>
      </c>
      <c r="AD6" s="988">
        <v>0.22</v>
      </c>
      <c r="AE6" s="986" t="s">
        <v>12</v>
      </c>
      <c r="AF6" s="988">
        <v>0.22</v>
      </c>
      <c r="AG6" s="986" t="s">
        <v>11</v>
      </c>
      <c r="AH6" s="990">
        <v>-4</v>
      </c>
      <c r="AI6" s="986" t="s">
        <v>585</v>
      </c>
      <c r="AJ6" s="990">
        <v>1</v>
      </c>
      <c r="AK6" s="986" t="s">
        <v>35</v>
      </c>
      <c r="AL6" s="989" t="s">
        <v>587</v>
      </c>
      <c r="AM6" s="986" t="str">
        <f>""</f>
        <v/>
      </c>
      <c r="AN6" s="990" t="str">
        <f>""</f>
        <v/>
      </c>
      <c r="AO6" s="986" t="str">
        <f>""</f>
        <v/>
      </c>
      <c r="AP6" s="990" t="str">
        <f>""</f>
        <v/>
      </c>
      <c r="AQ6" s="986"/>
      <c r="AR6" s="1027"/>
      <c r="AS6" s="986"/>
      <c r="AT6" s="989"/>
      <c r="AU6" s="986"/>
      <c r="AV6" s="1027"/>
      <c r="AW6" s="1500"/>
      <c r="AX6" s="1514"/>
      <c r="AY6" s="1500"/>
      <c r="AZ6" s="1514"/>
      <c r="BA6" s="985"/>
      <c r="BB6" s="1516"/>
    </row>
    <row r="7" spans="1:54" ht="33" customHeight="1" x14ac:dyDescent="0.25">
      <c r="A7" s="394" t="s">
        <v>15</v>
      </c>
      <c r="B7" s="415"/>
      <c r="C7" s="416">
        <v>-2</v>
      </c>
      <c r="D7" s="515">
        <f>Примерочная!$N$7*VLOOKUP(Таблица_шлемы[[#This Row],[название]],Таблица_моды_шлемы[],4,0)+Примерочная!$M$7*VLOOKUP(Таблица_шлемы[[#This Row],[название]],Таблица_моды_шлемы[],5,0)</f>
        <v>0</v>
      </c>
      <c r="E7" s="417">
        <v>7</v>
      </c>
      <c r="F7" s="519">
        <f>Таблица_шлемы[[#This Row],[защита]]*(Примерочная!$J$7*VLOOKUP(Таблица_шлемы[[#This Row],[название]],Таблица_моды_шлемы[],2,0)+Примерочная!$O$7*VLOOKUP(Таблица_шлемы[[#This Row],[название]],Таблица_моды_шлемы[],3,0))</f>
        <v>0</v>
      </c>
      <c r="G7" s="378">
        <v>10</v>
      </c>
      <c r="H7" s="355">
        <v>10</v>
      </c>
      <c r="I7" s="356">
        <v>4</v>
      </c>
      <c r="J7" s="515">
        <f>Примерочная!$O$7*VLOOKUP(Таблица_шлемы[[#This Row],[название]],Таблица_моды_шлемы[],6,0)</f>
        <v>0</v>
      </c>
      <c r="K7" s="417">
        <v>2</v>
      </c>
      <c r="L7" s="515">
        <f>Примерочная!$M$7*VLOOKUP(Таблица_шлемы[[#This Row],[название]],Таблица_моды_шлемы[],9,0)+Примерочная!$N$7*VLOOKUP(Таблица_шлемы[[#This Row],[название]],Таблица_моды_шлемы[],10,0)</f>
        <v>0</v>
      </c>
      <c r="M7" s="417">
        <v>2</v>
      </c>
      <c r="N7" s="515">
        <f>Примерочная!$L$7*VLOOKUP(Таблица_шлемы[[#This Row],[название]],Таблица_моды_шлемы[],11,0)</f>
        <v>0</v>
      </c>
      <c r="O7" s="425">
        <v>0</v>
      </c>
      <c r="P7" s="423">
        <v>0</v>
      </c>
      <c r="Q7" s="514">
        <f>Примерочная!$L$7*VLOOKUP(Таблица_шлемы[[#This Row],[название]],Таблица_моды_шлемы[],12,0)</f>
        <v>0</v>
      </c>
      <c r="R7" s="172">
        <v>0</v>
      </c>
      <c r="S7" s="510">
        <f>Примерочная!$K$7*VLOOKUP(Таблица_шлемы[[#This Row],[название]],Таблица_моды_шлемы[],13,0)</f>
        <v>0</v>
      </c>
      <c r="T7" s="490">
        <v>0</v>
      </c>
      <c r="U7" s="506">
        <f>Примерочная!$K$7*VLOOKUP(Таблица_шлемы[[#This Row],[название]],Таблица_моды_шлемы[],14,0)</f>
        <v>0</v>
      </c>
      <c r="V7" s="485">
        <v>0</v>
      </c>
      <c r="W7" s="394">
        <v>14</v>
      </c>
      <c r="X7" s="394"/>
      <c r="Y7" s="394"/>
      <c r="Z7" s="424">
        <v>7</v>
      </c>
      <c r="AB7" s="993" t="s">
        <v>15</v>
      </c>
      <c r="AC7" s="986" t="s">
        <v>10</v>
      </c>
      <c r="AD7" s="988">
        <v>0.24</v>
      </c>
      <c r="AE7" s="986" t="s">
        <v>12</v>
      </c>
      <c r="AF7" s="988">
        <v>0.24</v>
      </c>
      <c r="AG7" s="986" t="s">
        <v>11</v>
      </c>
      <c r="AH7" s="990">
        <v>-4</v>
      </c>
      <c r="AI7" s="986" t="s">
        <v>585</v>
      </c>
      <c r="AJ7" s="990">
        <v>1.5</v>
      </c>
      <c r="AK7" s="986" t="s">
        <v>35</v>
      </c>
      <c r="AL7" s="989" t="s">
        <v>573</v>
      </c>
      <c r="AM7" s="986" t="str">
        <f>""</f>
        <v/>
      </c>
      <c r="AN7" s="990" t="str">
        <f>""</f>
        <v/>
      </c>
      <c r="AO7" s="986" t="str">
        <f>""</f>
        <v/>
      </c>
      <c r="AP7" s="990" t="str">
        <f>""</f>
        <v/>
      </c>
      <c r="AQ7" s="986"/>
      <c r="AR7" s="1027"/>
      <c r="AS7" s="986"/>
      <c r="AT7" s="989"/>
      <c r="AU7" s="986"/>
      <c r="AV7" s="1027"/>
      <c r="AW7" s="1500"/>
      <c r="AX7" s="1514"/>
      <c r="AY7" s="1500"/>
      <c r="AZ7" s="1514"/>
      <c r="BA7" s="985"/>
      <c r="BB7" s="1516"/>
    </row>
    <row r="8" spans="1:54" ht="33" customHeight="1" x14ac:dyDescent="0.25">
      <c r="A8" s="394" t="s">
        <v>16</v>
      </c>
      <c r="B8" s="415"/>
      <c r="C8" s="416">
        <v>-3</v>
      </c>
      <c r="D8" s="515">
        <f>Примерочная!$N$7*VLOOKUP(Таблица_шлемы[[#This Row],[название]],Таблица_моды_шлемы[],4,0)+Примерочная!$M$7*VLOOKUP(Таблица_шлемы[[#This Row],[название]],Таблица_моды_шлемы[],5,0)</f>
        <v>0</v>
      </c>
      <c r="E8" s="417">
        <v>10</v>
      </c>
      <c r="F8" s="519">
        <f>Таблица_шлемы[[#This Row],[защита]]*(Примерочная!$J$7*VLOOKUP(Таблица_шлемы[[#This Row],[название]],Таблица_моды_шлемы[],2,0)+Примерочная!$O$7*VLOOKUP(Таблица_шлемы[[#This Row],[название]],Таблица_моды_шлемы[],3,0))</f>
        <v>0</v>
      </c>
      <c r="G8" s="378">
        <v>10</v>
      </c>
      <c r="H8" s="355">
        <v>10</v>
      </c>
      <c r="I8" s="356">
        <v>4</v>
      </c>
      <c r="J8" s="515">
        <f>Примерочная!$O$7*VLOOKUP(Таблица_шлемы[[#This Row],[название]],Таблица_моды_шлемы[],6,0)</f>
        <v>0</v>
      </c>
      <c r="K8" s="417">
        <v>2</v>
      </c>
      <c r="L8" s="515">
        <f>Примерочная!$M$7*VLOOKUP(Таблица_шлемы[[#This Row],[название]],Таблица_моды_шлемы[],9,0)+Примерочная!$N$7*VLOOKUP(Таблица_шлемы[[#This Row],[название]],Таблица_моды_шлемы[],10,0)</f>
        <v>0</v>
      </c>
      <c r="M8" s="417">
        <v>2</v>
      </c>
      <c r="N8" s="515">
        <f>Примерочная!$L$7*VLOOKUP(Таблица_шлемы[[#This Row],[название]],Таблица_моды_шлемы[],11,0)</f>
        <v>0</v>
      </c>
      <c r="O8" s="425">
        <v>0</v>
      </c>
      <c r="P8" s="423">
        <v>0</v>
      </c>
      <c r="Q8" s="514">
        <f>Примерочная!$L$7*VLOOKUP(Таблица_шлемы[[#This Row],[название]],Таблица_моды_шлемы[],12,0)</f>
        <v>0</v>
      </c>
      <c r="R8" s="172">
        <v>0</v>
      </c>
      <c r="S8" s="510">
        <f>Примерочная!$K$7*VLOOKUP(Таблица_шлемы[[#This Row],[название]],Таблица_моды_шлемы[],13,0)</f>
        <v>0</v>
      </c>
      <c r="T8" s="490">
        <v>0</v>
      </c>
      <c r="U8" s="506">
        <f>Примерочная!$K$7*VLOOKUP(Таблица_шлемы[[#This Row],[название]],Таблица_моды_шлемы[],14,0)</f>
        <v>0</v>
      </c>
      <c r="V8" s="485">
        <v>0</v>
      </c>
      <c r="W8" s="394">
        <v>18</v>
      </c>
      <c r="X8" s="394"/>
      <c r="Y8" s="394"/>
      <c r="Z8" s="424">
        <v>7</v>
      </c>
      <c r="AB8" s="993" t="s">
        <v>16</v>
      </c>
      <c r="AC8" s="986" t="s">
        <v>10</v>
      </c>
      <c r="AD8" s="988">
        <v>0.26</v>
      </c>
      <c r="AE8" s="986" t="s">
        <v>12</v>
      </c>
      <c r="AF8" s="988">
        <v>0.26</v>
      </c>
      <c r="AG8" s="986" t="s">
        <v>11</v>
      </c>
      <c r="AH8" s="990">
        <v>-4</v>
      </c>
      <c r="AI8" s="986" t="s">
        <v>585</v>
      </c>
      <c r="AJ8" s="990">
        <v>1.5</v>
      </c>
      <c r="AK8" s="986" t="s">
        <v>35</v>
      </c>
      <c r="AL8" s="989" t="s">
        <v>575</v>
      </c>
      <c r="AM8" s="986" t="str">
        <f>""</f>
        <v/>
      </c>
      <c r="AN8" s="990" t="str">
        <f>""</f>
        <v/>
      </c>
      <c r="AO8" s="986" t="str">
        <f>""</f>
        <v/>
      </c>
      <c r="AP8" s="990" t="str">
        <f>""</f>
        <v/>
      </c>
      <c r="AQ8" s="986"/>
      <c r="AR8" s="1027"/>
      <c r="AS8" s="986"/>
      <c r="AT8" s="989"/>
      <c r="AU8" s="986"/>
      <c r="AV8" s="1027"/>
      <c r="AW8" s="1500"/>
      <c r="AX8" s="1514"/>
      <c r="AY8" s="1500"/>
      <c r="AZ8" s="1514"/>
      <c r="BA8" s="985"/>
      <c r="BB8" s="1516"/>
    </row>
    <row r="9" spans="1:54" ht="33" customHeight="1" x14ac:dyDescent="0.25">
      <c r="A9" s="394" t="s">
        <v>17</v>
      </c>
      <c r="B9" s="415"/>
      <c r="C9" s="416">
        <v>-3</v>
      </c>
      <c r="D9" s="515">
        <f>Примерочная!$N$7*VLOOKUP(Таблица_шлемы[[#This Row],[название]],Таблица_моды_шлемы[],4,0)+Примерочная!$M$7*VLOOKUP(Таблица_шлемы[[#This Row],[название]],Таблица_моды_шлемы[],5,0)</f>
        <v>0</v>
      </c>
      <c r="E9" s="417">
        <v>13</v>
      </c>
      <c r="F9" s="519">
        <f>Таблица_шлемы[[#This Row],[защита]]*(Примерочная!$J$7*VLOOKUP(Таблица_шлемы[[#This Row],[название]],Таблица_моды_шлемы[],2,0)+Примерочная!$O$7*VLOOKUP(Таблица_шлемы[[#This Row],[название]],Таблица_моды_шлемы[],3,0))</f>
        <v>0</v>
      </c>
      <c r="G9" s="378">
        <v>10</v>
      </c>
      <c r="H9" s="355">
        <v>10</v>
      </c>
      <c r="I9" s="356">
        <v>4</v>
      </c>
      <c r="J9" s="515">
        <f>Примерочная!$O$7*VLOOKUP(Таблица_шлемы[[#This Row],[название]],Таблица_моды_шлемы[],6,0)</f>
        <v>0</v>
      </c>
      <c r="K9" s="417">
        <v>2</v>
      </c>
      <c r="L9" s="515">
        <f>Примерочная!$M$7*VLOOKUP(Таблица_шлемы[[#This Row],[название]],Таблица_моды_шлемы[],9,0)+Примерочная!$N$7*VLOOKUP(Таблица_шлемы[[#This Row],[название]],Таблица_моды_шлемы[],10,0)</f>
        <v>0</v>
      </c>
      <c r="M9" s="417">
        <v>2</v>
      </c>
      <c r="N9" s="515">
        <f>Примерочная!$L$7*VLOOKUP(Таблица_шлемы[[#This Row],[название]],Таблица_моды_шлемы[],11,0)</f>
        <v>0</v>
      </c>
      <c r="O9" s="425">
        <v>0</v>
      </c>
      <c r="P9" s="423">
        <v>0</v>
      </c>
      <c r="Q9" s="514">
        <f>Примерочная!$L$7*VLOOKUP(Таблица_шлемы[[#This Row],[название]],Таблица_моды_шлемы[],12,0)</f>
        <v>0</v>
      </c>
      <c r="R9" s="172">
        <v>0</v>
      </c>
      <c r="S9" s="510">
        <f>Примерочная!$K$7*VLOOKUP(Таблица_шлемы[[#This Row],[название]],Таблица_моды_шлемы[],13,0)</f>
        <v>0</v>
      </c>
      <c r="T9" s="490">
        <v>0</v>
      </c>
      <c r="U9" s="506">
        <f>Примерочная!$K$7*VLOOKUP(Таблица_шлемы[[#This Row],[название]],Таблица_моды_шлемы[],14,0)</f>
        <v>0</v>
      </c>
      <c r="V9" s="485">
        <v>0</v>
      </c>
      <c r="W9" s="394">
        <v>22</v>
      </c>
      <c r="X9" s="394"/>
      <c r="Y9" s="394"/>
      <c r="Z9" s="424">
        <v>7</v>
      </c>
      <c r="AB9" s="993" t="s">
        <v>17</v>
      </c>
      <c r="AC9" s="986" t="s">
        <v>10</v>
      </c>
      <c r="AD9" s="988">
        <v>0.28000000000000003</v>
      </c>
      <c r="AE9" s="986" t="s">
        <v>12</v>
      </c>
      <c r="AF9" s="988">
        <v>0.28000000000000003</v>
      </c>
      <c r="AG9" s="986" t="s">
        <v>11</v>
      </c>
      <c r="AH9" s="990">
        <v>-4</v>
      </c>
      <c r="AI9" s="986" t="s">
        <v>585</v>
      </c>
      <c r="AJ9" s="990">
        <v>1.5</v>
      </c>
      <c r="AK9" s="986" t="s">
        <v>35</v>
      </c>
      <c r="AL9" s="989" t="s">
        <v>577</v>
      </c>
      <c r="AM9" s="986" t="str">
        <f>""</f>
        <v/>
      </c>
      <c r="AN9" s="990" t="str">
        <f>""</f>
        <v/>
      </c>
      <c r="AO9" s="986" t="str">
        <f>""</f>
        <v/>
      </c>
      <c r="AP9" s="990" t="str">
        <f>""</f>
        <v/>
      </c>
      <c r="AQ9" s="986"/>
      <c r="AR9" s="1027"/>
      <c r="AS9" s="986"/>
      <c r="AT9" s="989"/>
      <c r="AU9" s="986"/>
      <c r="AV9" s="1027"/>
      <c r="AW9" s="1500"/>
      <c r="AX9" s="1514"/>
      <c r="AY9" s="1500"/>
      <c r="AZ9" s="1514"/>
      <c r="BA9" s="985"/>
      <c r="BB9" s="1516"/>
    </row>
    <row r="10" spans="1:54" ht="33" customHeight="1" x14ac:dyDescent="0.25">
      <c r="A10" s="394" t="s">
        <v>18</v>
      </c>
      <c r="B10" s="415"/>
      <c r="C10" s="416">
        <v>-4</v>
      </c>
      <c r="D10" s="515">
        <f>Примерочная!$N$7*VLOOKUP(Таблица_шлемы[[#This Row],[название]],Таблица_моды_шлемы[],4,0)+Примерочная!$M$7*VLOOKUP(Таблица_шлемы[[#This Row],[название]],Таблица_моды_шлемы[],5,0)</f>
        <v>0</v>
      </c>
      <c r="E10" s="417">
        <v>18</v>
      </c>
      <c r="F10" s="519">
        <f>Таблица_шлемы[[#This Row],[защита]]*(Примерочная!$J$7*VLOOKUP(Таблица_шлемы[[#This Row],[название]],Таблица_моды_шлемы[],2,0)+Примерочная!$O$7*VLOOKUP(Таблица_шлемы[[#This Row],[название]],Таблица_моды_шлемы[],3,0))</f>
        <v>0</v>
      </c>
      <c r="G10" s="378">
        <v>10</v>
      </c>
      <c r="H10" s="355">
        <v>10</v>
      </c>
      <c r="I10" s="356">
        <v>4</v>
      </c>
      <c r="J10" s="515">
        <f>Примерочная!$O$7*VLOOKUP(Таблица_шлемы[[#This Row],[название]],Таблица_моды_шлемы[],6,0)</f>
        <v>0</v>
      </c>
      <c r="K10" s="417">
        <v>2</v>
      </c>
      <c r="L10" s="515">
        <f>Примерочная!$M$7*VLOOKUP(Таблица_шлемы[[#This Row],[название]],Таблица_моды_шлемы[],9,0)+Примерочная!$N$7*VLOOKUP(Таблица_шлемы[[#This Row],[название]],Таблица_моды_шлемы[],10,0)</f>
        <v>0</v>
      </c>
      <c r="M10" s="417">
        <v>2</v>
      </c>
      <c r="N10" s="515">
        <f>Примерочная!$L$7*VLOOKUP(Таблица_шлемы[[#This Row],[название]],Таблица_моды_шлемы[],11,0)</f>
        <v>0</v>
      </c>
      <c r="O10" s="425">
        <v>0</v>
      </c>
      <c r="P10" s="423">
        <v>0</v>
      </c>
      <c r="Q10" s="514">
        <f>Примерочная!$L$7*VLOOKUP(Таблица_шлемы[[#This Row],[название]],Таблица_моды_шлемы[],12,0)</f>
        <v>0</v>
      </c>
      <c r="R10" s="172">
        <v>0</v>
      </c>
      <c r="S10" s="510">
        <f>Примерочная!$K$7*VLOOKUP(Таблица_шлемы[[#This Row],[название]],Таблица_моды_шлемы[],13,0)</f>
        <v>0</v>
      </c>
      <c r="T10" s="490">
        <v>0</v>
      </c>
      <c r="U10" s="506">
        <f>Примерочная!$K$7*VLOOKUP(Таблица_шлемы[[#This Row],[название]],Таблица_моды_шлемы[],14,0)</f>
        <v>0</v>
      </c>
      <c r="V10" s="485">
        <v>0</v>
      </c>
      <c r="W10" s="394">
        <v>27</v>
      </c>
      <c r="X10" s="394"/>
      <c r="Y10" s="394"/>
      <c r="Z10" s="424">
        <v>7</v>
      </c>
      <c r="AB10" s="993" t="s">
        <v>18</v>
      </c>
      <c r="AC10" s="986" t="s">
        <v>10</v>
      </c>
      <c r="AD10" s="988">
        <v>0.3</v>
      </c>
      <c r="AE10" s="986" t="s">
        <v>12</v>
      </c>
      <c r="AF10" s="988">
        <v>0.3</v>
      </c>
      <c r="AG10" s="986" t="s">
        <v>11</v>
      </c>
      <c r="AH10" s="990">
        <v>-4</v>
      </c>
      <c r="AI10" s="986" t="s">
        <v>585</v>
      </c>
      <c r="AJ10" s="990">
        <v>2</v>
      </c>
      <c r="AK10" s="986" t="s">
        <v>35</v>
      </c>
      <c r="AL10" s="989" t="s">
        <v>579</v>
      </c>
      <c r="AM10" s="986" t="str">
        <f>""</f>
        <v/>
      </c>
      <c r="AN10" s="990" t="str">
        <f>""</f>
        <v/>
      </c>
      <c r="AO10" s="986" t="str">
        <f>""</f>
        <v/>
      </c>
      <c r="AP10" s="990" t="str">
        <f>""</f>
        <v/>
      </c>
      <c r="AQ10" s="986"/>
      <c r="AR10" s="1027"/>
      <c r="AS10" s="986"/>
      <c r="AT10" s="989"/>
      <c r="AU10" s="986"/>
      <c r="AV10" s="1027"/>
      <c r="AW10" s="1500"/>
      <c r="AX10" s="1514"/>
      <c r="AY10" s="1500"/>
      <c r="AZ10" s="1514"/>
      <c r="BA10" s="985"/>
      <c r="BB10" s="1516"/>
    </row>
    <row r="11" spans="1:54" ht="33" customHeight="1" thickBot="1" x14ac:dyDescent="0.3">
      <c r="A11" s="394" t="s">
        <v>19</v>
      </c>
      <c r="B11" s="415"/>
      <c r="C11" s="416">
        <v>-4</v>
      </c>
      <c r="D11" s="515">
        <f>Примерочная!$N$7*VLOOKUP(Таблица_шлемы[[#This Row],[название]],Таблица_моды_шлемы[],4,0)+Примерочная!$M$7*VLOOKUP(Таблица_шлемы[[#This Row],[название]],Таблица_моды_шлемы[],5,0)</f>
        <v>0</v>
      </c>
      <c r="E11" s="417">
        <v>24</v>
      </c>
      <c r="F11" s="519">
        <f>Таблица_шлемы[[#This Row],[защита]]*(Примерочная!$J$7*VLOOKUP(Таблица_шлемы[[#This Row],[название]],Таблица_моды_шлемы[],2,0)+Примерочная!$O$7*VLOOKUP(Таблица_шлемы[[#This Row],[название]],Таблица_моды_шлемы[],3,0))</f>
        <v>0</v>
      </c>
      <c r="G11" s="378">
        <v>10</v>
      </c>
      <c r="H11" s="355">
        <v>10</v>
      </c>
      <c r="I11" s="356">
        <v>4</v>
      </c>
      <c r="J11" s="515">
        <f>Примерочная!$O$7*VLOOKUP(Таблица_шлемы[[#This Row],[название]],Таблица_моды_шлемы[],6,0)</f>
        <v>0</v>
      </c>
      <c r="K11" s="417">
        <v>2</v>
      </c>
      <c r="L11" s="515">
        <f>Примерочная!$M$7*VLOOKUP(Таблица_шлемы[[#This Row],[название]],Таблица_моды_шлемы[],9,0)+Примерочная!$N$7*VLOOKUP(Таблица_шлемы[[#This Row],[название]],Таблица_моды_шлемы[],10,0)</f>
        <v>0</v>
      </c>
      <c r="M11" s="417">
        <v>2</v>
      </c>
      <c r="N11" s="515">
        <f>Примерочная!$L$7*VLOOKUP(Таблица_шлемы[[#This Row],[название]],Таблица_моды_шлемы[],11,0)</f>
        <v>0</v>
      </c>
      <c r="O11" s="425">
        <v>0</v>
      </c>
      <c r="P11" s="423">
        <v>0</v>
      </c>
      <c r="Q11" s="514">
        <f>Примерочная!$L$7*VLOOKUP(Таблица_шлемы[[#This Row],[название]],Таблица_моды_шлемы[],12,0)</f>
        <v>0</v>
      </c>
      <c r="R11" s="172">
        <v>0</v>
      </c>
      <c r="S11" s="510">
        <f>Примерочная!$K$7*VLOOKUP(Таблица_шлемы[[#This Row],[название]],Таблица_моды_шлемы[],13,0)</f>
        <v>0</v>
      </c>
      <c r="T11" s="490">
        <v>0</v>
      </c>
      <c r="U11" s="506">
        <f>Примерочная!$K$7*VLOOKUP(Таблица_шлемы[[#This Row],[название]],Таблица_моды_шлемы[],14,0)</f>
        <v>0</v>
      </c>
      <c r="V11" s="485">
        <v>0</v>
      </c>
      <c r="W11" s="394">
        <v>35</v>
      </c>
      <c r="X11" s="394"/>
      <c r="Y11" s="394"/>
      <c r="Z11" s="424">
        <v>7</v>
      </c>
      <c r="AB11" s="994" t="s">
        <v>19</v>
      </c>
      <c r="AC11" s="987" t="s">
        <v>10</v>
      </c>
      <c r="AD11" s="991">
        <v>0.32</v>
      </c>
      <c r="AE11" s="987" t="s">
        <v>12</v>
      </c>
      <c r="AF11" s="991">
        <v>0.32</v>
      </c>
      <c r="AG11" s="987" t="s">
        <v>11</v>
      </c>
      <c r="AH11" s="995">
        <v>-4</v>
      </c>
      <c r="AI11" s="987" t="s">
        <v>585</v>
      </c>
      <c r="AJ11" s="996">
        <v>2</v>
      </c>
      <c r="AK11" s="987" t="s">
        <v>35</v>
      </c>
      <c r="AL11" s="992" t="s">
        <v>580</v>
      </c>
      <c r="AM11" s="987" t="str">
        <f>""</f>
        <v/>
      </c>
      <c r="AN11" s="995" t="str">
        <f>""</f>
        <v/>
      </c>
      <c r="AO11" s="987" t="str">
        <f>""</f>
        <v/>
      </c>
      <c r="AP11" s="995" t="str">
        <f>""</f>
        <v/>
      </c>
      <c r="AQ11" s="987"/>
      <c r="AR11" s="1028"/>
      <c r="AS11" s="987"/>
      <c r="AT11" s="992"/>
      <c r="AU11" s="987"/>
      <c r="AV11" s="1028"/>
      <c r="AW11" s="1501"/>
      <c r="AX11" s="1515"/>
      <c r="AY11" s="1501"/>
      <c r="AZ11" s="1515"/>
      <c r="BA11" s="1503"/>
      <c r="BB11" s="1517"/>
    </row>
    <row r="12" spans="1:54" ht="33" customHeight="1" thickBot="1" x14ac:dyDescent="0.3">
      <c r="A12" s="422"/>
      <c r="B12" s="426"/>
      <c r="C12" s="422"/>
      <c r="D12" s="515"/>
      <c r="E12" s="417"/>
      <c r="F12" s="519"/>
      <c r="G12" s="378"/>
      <c r="H12" s="355"/>
      <c r="I12" s="356"/>
      <c r="J12" s="515"/>
      <c r="K12" s="417"/>
      <c r="L12" s="515"/>
      <c r="M12" s="417"/>
      <c r="N12" s="515"/>
      <c r="O12" s="425"/>
      <c r="P12" s="423"/>
      <c r="Q12" s="514"/>
      <c r="R12" s="172"/>
      <c r="S12" s="510"/>
      <c r="T12" s="490"/>
      <c r="U12" s="506"/>
      <c r="V12" s="485"/>
      <c r="W12" s="394"/>
      <c r="X12" s="394"/>
      <c r="Y12" s="394"/>
      <c r="Z12" s="424"/>
      <c r="AB12" s="1005"/>
      <c r="AC12" s="1006"/>
      <c r="AD12" s="1007"/>
      <c r="AE12" s="1006"/>
      <c r="AF12" s="1009"/>
      <c r="AG12" s="1006"/>
      <c r="AH12" s="1009"/>
      <c r="AI12" s="1006"/>
      <c r="AJ12" s="1009"/>
      <c r="AK12" s="1006"/>
      <c r="AL12" s="1009"/>
      <c r="AM12" s="1006"/>
      <c r="AN12" s="1009"/>
      <c r="AO12" s="1006"/>
      <c r="AP12" s="1009"/>
      <c r="AQ12" s="1006"/>
      <c r="AR12" s="1029"/>
      <c r="AS12" s="1006"/>
      <c r="AT12" s="1009"/>
      <c r="AU12" s="1006"/>
      <c r="AV12" s="1496"/>
      <c r="AW12" s="1506"/>
      <c r="AX12" s="1507"/>
      <c r="AY12" s="1506"/>
      <c r="AZ12" s="1507"/>
      <c r="BA12" s="1508"/>
      <c r="BB12" s="1507"/>
    </row>
    <row r="13" spans="1:54" ht="33" customHeight="1" x14ac:dyDescent="0.25">
      <c r="A13" s="394" t="s">
        <v>21</v>
      </c>
      <c r="B13" s="415"/>
      <c r="C13" s="416">
        <v>1</v>
      </c>
      <c r="D13" s="515">
        <f>Примерочная!$N$7*VLOOKUP(Таблица_шлемы[[#This Row],[название]],Таблица_моды_шлемы[],4,0)+Примерочная!$M$7*VLOOKUP(Таблица_шлемы[[#This Row],[название]],Таблица_моды_шлемы[],5,0)</f>
        <v>0</v>
      </c>
      <c r="E13" s="417">
        <v>2</v>
      </c>
      <c r="F13" s="519">
        <f>Таблица_шлемы[[#This Row],[защита]]*(Примерочная!$J$7*VLOOKUP(Таблица_шлемы[[#This Row],[название]],Таблица_моды_шлемы[],2,0)+Примерочная!$O$7*VLOOKUP(Таблица_шлемы[[#This Row],[название]],Таблица_моды_шлемы[],3,0))</f>
        <v>0</v>
      </c>
      <c r="G13" s="378">
        <v>4</v>
      </c>
      <c r="H13" s="355">
        <v>8</v>
      </c>
      <c r="I13" s="356">
        <v>8</v>
      </c>
      <c r="J13" s="515">
        <f>Примерочная!$O$7*VLOOKUP(Таблица_шлемы[[#This Row],[название]],Таблица_моды_шлемы[],6,0)</f>
        <v>0</v>
      </c>
      <c r="K13" s="417">
        <v>5</v>
      </c>
      <c r="L13" s="515">
        <f>Примерочная!$M$7*VLOOKUP(Таблица_шлемы[[#This Row],[название]],Таблица_моды_шлемы[],9,0)+Примерочная!$N$7*VLOOKUP(Таблица_шлемы[[#This Row],[название]],Таблица_моды_шлемы[],10,0)</f>
        <v>0</v>
      </c>
      <c r="M13" s="417">
        <v>0</v>
      </c>
      <c r="N13" s="515">
        <f>Примерочная!$L$7*VLOOKUP(Таблица_шлемы[[#This Row],[название]],Таблица_моды_шлемы[],11,0)</f>
        <v>0</v>
      </c>
      <c r="O13" s="425">
        <v>0</v>
      </c>
      <c r="P13" s="423">
        <v>0</v>
      </c>
      <c r="Q13" s="514">
        <f>Примерочная!$L$7*VLOOKUP(Таблица_шлемы[[#This Row],[название]],Таблица_моды_шлемы[],12,0)</f>
        <v>0</v>
      </c>
      <c r="R13" s="172">
        <v>0</v>
      </c>
      <c r="S13" s="510">
        <f>Примерочная!$K$7*VLOOKUP(Таблица_шлемы[[#This Row],[название]],Таблица_моды_шлемы[],13,0)</f>
        <v>0</v>
      </c>
      <c r="T13" s="490">
        <v>0</v>
      </c>
      <c r="U13" s="506">
        <f>Примерочная!$K$7*VLOOKUP(Таблица_шлемы[[#This Row],[название]],Таблица_моды_шлемы[],14,0)</f>
        <v>0</v>
      </c>
      <c r="V13" s="485">
        <v>0</v>
      </c>
      <c r="W13" s="394"/>
      <c r="X13" s="394">
        <v>1</v>
      </c>
      <c r="Y13" s="394"/>
      <c r="Z13" s="424">
        <v>7</v>
      </c>
      <c r="AB13" s="997" t="s">
        <v>21</v>
      </c>
      <c r="AC13" s="998" t="s">
        <v>29</v>
      </c>
      <c r="AD13" s="999">
        <v>0.2</v>
      </c>
      <c r="AE13" s="998" t="s">
        <v>30</v>
      </c>
      <c r="AF13" s="999">
        <v>0.2</v>
      </c>
      <c r="AG13" s="998" t="s">
        <v>588</v>
      </c>
      <c r="AH13" s="1000">
        <v>-1</v>
      </c>
      <c r="AI13" s="998" t="s">
        <v>31</v>
      </c>
      <c r="AJ13" s="1000">
        <v>1</v>
      </c>
      <c r="AK13" s="998" t="s">
        <v>589</v>
      </c>
      <c r="AL13" s="1000">
        <v>-2</v>
      </c>
      <c r="AM13" s="998" t="s">
        <v>33</v>
      </c>
      <c r="AN13" s="1000">
        <v>-5</v>
      </c>
      <c r="AO13" s="998" t="s">
        <v>34</v>
      </c>
      <c r="AP13" s="1001">
        <v>0.1</v>
      </c>
      <c r="AQ13" s="998" t="s">
        <v>563</v>
      </c>
      <c r="AR13" s="1030" t="s">
        <v>583</v>
      </c>
      <c r="AS13" s="998"/>
      <c r="AT13" s="1001"/>
      <c r="AU13" s="998"/>
      <c r="AV13" s="1030"/>
      <c r="AW13" s="1509"/>
      <c r="AX13" s="1518"/>
      <c r="AY13" s="1509"/>
      <c r="AZ13" s="1518"/>
      <c r="BA13" s="1505"/>
      <c r="BB13" s="1520"/>
    </row>
    <row r="14" spans="1:54" ht="33" customHeight="1" x14ac:dyDescent="0.25">
      <c r="A14" s="394" t="s">
        <v>22</v>
      </c>
      <c r="B14" s="415"/>
      <c r="C14" s="416">
        <v>1</v>
      </c>
      <c r="D14" s="515">
        <f>Примерочная!$N$7*VLOOKUP(Таблица_шлемы[[#This Row],[название]],Таблица_моды_шлемы[],4,0)+Примерочная!$M$7*VLOOKUP(Таблица_шлемы[[#This Row],[название]],Таблица_моды_шлемы[],5,0)</f>
        <v>0</v>
      </c>
      <c r="E14" s="417">
        <v>3</v>
      </c>
      <c r="F14" s="519">
        <f>Таблица_шлемы[[#This Row],[защита]]*(Примерочная!$J$7*VLOOKUP(Таблица_шлемы[[#This Row],[название]],Таблица_моды_шлемы[],2,0)+Примерочная!$O$7*VLOOKUP(Таблица_шлемы[[#This Row],[название]],Таблица_моды_шлемы[],3,0))</f>
        <v>0</v>
      </c>
      <c r="G14" s="378">
        <v>4</v>
      </c>
      <c r="H14" s="355">
        <v>8</v>
      </c>
      <c r="I14" s="356">
        <v>8</v>
      </c>
      <c r="J14" s="515">
        <f>Примерочная!$O$7*VLOOKUP(Таблица_шлемы[[#This Row],[название]],Таблица_моды_шлемы[],6,0)</f>
        <v>0</v>
      </c>
      <c r="K14" s="417">
        <v>5</v>
      </c>
      <c r="L14" s="515">
        <f>Примерочная!$M$7*VLOOKUP(Таблица_шлемы[[#This Row],[название]],Таблица_моды_шлемы[],9,0)+Примерочная!$N$7*VLOOKUP(Таблица_шлемы[[#This Row],[название]],Таблица_моды_шлемы[],10,0)</f>
        <v>0</v>
      </c>
      <c r="M14" s="417">
        <v>0</v>
      </c>
      <c r="N14" s="515">
        <f>Примерочная!$L$7*VLOOKUP(Таблица_шлемы[[#This Row],[название]],Таблица_моды_шлемы[],11,0)</f>
        <v>0</v>
      </c>
      <c r="O14" s="425">
        <v>0</v>
      </c>
      <c r="P14" s="423">
        <v>0</v>
      </c>
      <c r="Q14" s="514">
        <f>Примерочная!$L$7*VLOOKUP(Таблица_шлемы[[#This Row],[название]],Таблица_моды_шлемы[],12,0)</f>
        <v>0</v>
      </c>
      <c r="R14" s="172">
        <v>0</v>
      </c>
      <c r="S14" s="510">
        <f>Примерочная!$K$7*VLOOKUP(Таблица_шлемы[[#This Row],[название]],Таблица_моды_шлемы[],13,0)</f>
        <v>0</v>
      </c>
      <c r="T14" s="490">
        <v>0</v>
      </c>
      <c r="U14" s="506">
        <f>Примерочная!$K$7*VLOOKUP(Таблица_шлемы[[#This Row],[название]],Таблица_моды_шлемы[],14,0)</f>
        <v>0</v>
      </c>
      <c r="V14" s="485">
        <v>0</v>
      </c>
      <c r="W14" s="394"/>
      <c r="X14" s="394">
        <v>5</v>
      </c>
      <c r="Y14" s="394"/>
      <c r="Z14" s="424">
        <v>7</v>
      </c>
      <c r="AB14" s="993" t="s">
        <v>22</v>
      </c>
      <c r="AC14" s="986" t="s">
        <v>29</v>
      </c>
      <c r="AD14" s="988">
        <v>0.22</v>
      </c>
      <c r="AE14" s="986" t="s">
        <v>30</v>
      </c>
      <c r="AF14" s="988">
        <v>0.22</v>
      </c>
      <c r="AG14" s="986" t="s">
        <v>588</v>
      </c>
      <c r="AH14" s="990">
        <v>-1</v>
      </c>
      <c r="AI14" s="986" t="s">
        <v>31</v>
      </c>
      <c r="AJ14" s="990">
        <v>2</v>
      </c>
      <c r="AK14" s="986" t="s">
        <v>589</v>
      </c>
      <c r="AL14" s="990">
        <v>-2</v>
      </c>
      <c r="AM14" s="986" t="s">
        <v>33</v>
      </c>
      <c r="AN14" s="990">
        <v>-5</v>
      </c>
      <c r="AO14" s="986" t="s">
        <v>34</v>
      </c>
      <c r="AP14" s="989">
        <v>0.13</v>
      </c>
      <c r="AQ14" s="986" t="s">
        <v>563</v>
      </c>
      <c r="AR14" s="1027" t="s">
        <v>583</v>
      </c>
      <c r="AS14" s="986"/>
      <c r="AT14" s="989"/>
      <c r="AU14" s="986"/>
      <c r="AV14" s="1027"/>
      <c r="AW14" s="1500"/>
      <c r="AX14" s="1514"/>
      <c r="AY14" s="1500"/>
      <c r="AZ14" s="1514"/>
      <c r="BA14" s="985"/>
      <c r="BB14" s="1516"/>
    </row>
    <row r="15" spans="1:54" ht="33" customHeight="1" x14ac:dyDescent="0.25">
      <c r="A15" s="394" t="s">
        <v>23</v>
      </c>
      <c r="B15" s="415"/>
      <c r="C15" s="416">
        <v>1</v>
      </c>
      <c r="D15" s="515">
        <f>Примерочная!$N$7*VLOOKUP(Таблица_шлемы[[#This Row],[название]],Таблица_моды_шлемы[],4,0)+Примерочная!$M$7*VLOOKUP(Таблица_шлемы[[#This Row],[название]],Таблица_моды_шлемы[],5,0)</f>
        <v>0</v>
      </c>
      <c r="E15" s="417">
        <v>5</v>
      </c>
      <c r="F15" s="519">
        <f>Таблица_шлемы[[#This Row],[защита]]*(Примерочная!$J$7*VLOOKUP(Таблица_шлемы[[#This Row],[название]],Таблица_моды_шлемы[],2,0)+Примерочная!$O$7*VLOOKUP(Таблица_шлемы[[#This Row],[название]],Таблица_моды_шлемы[],3,0))</f>
        <v>0</v>
      </c>
      <c r="G15" s="378">
        <v>4</v>
      </c>
      <c r="H15" s="355">
        <v>8</v>
      </c>
      <c r="I15" s="356">
        <v>8</v>
      </c>
      <c r="J15" s="515">
        <f>Примерочная!$O$7*VLOOKUP(Таблица_шлемы[[#This Row],[название]],Таблица_моды_шлемы[],6,0)</f>
        <v>0</v>
      </c>
      <c r="K15" s="417">
        <v>5</v>
      </c>
      <c r="L15" s="515">
        <f>Примерочная!$M$7*VLOOKUP(Таблица_шлемы[[#This Row],[название]],Таблица_моды_шлемы[],9,0)+Примерочная!$N$7*VLOOKUP(Таблица_шлемы[[#This Row],[название]],Таблица_моды_шлемы[],10,0)</f>
        <v>0</v>
      </c>
      <c r="M15" s="417">
        <v>0</v>
      </c>
      <c r="N15" s="515">
        <f>Примерочная!$L$7*VLOOKUP(Таблица_шлемы[[#This Row],[название]],Таблица_моды_шлемы[],11,0)</f>
        <v>0</v>
      </c>
      <c r="O15" s="425">
        <v>0</v>
      </c>
      <c r="P15" s="423">
        <v>0</v>
      </c>
      <c r="Q15" s="514">
        <f>Примерочная!$L$7*VLOOKUP(Таблица_шлемы[[#This Row],[название]],Таблица_моды_шлемы[],12,0)</f>
        <v>0</v>
      </c>
      <c r="R15" s="172">
        <v>0</v>
      </c>
      <c r="S15" s="510">
        <f>Примерочная!$K$7*VLOOKUP(Таблица_шлемы[[#This Row],[название]],Таблица_моды_шлемы[],13,0)</f>
        <v>0</v>
      </c>
      <c r="T15" s="490">
        <v>0</v>
      </c>
      <c r="U15" s="506">
        <f>Примерочная!$K$7*VLOOKUP(Таблица_шлемы[[#This Row],[название]],Таблица_моды_шлемы[],14,0)</f>
        <v>0</v>
      </c>
      <c r="V15" s="485">
        <v>0</v>
      </c>
      <c r="W15" s="394"/>
      <c r="X15" s="394">
        <v>10</v>
      </c>
      <c r="Y15" s="394"/>
      <c r="Z15" s="424">
        <v>7</v>
      </c>
      <c r="AB15" s="993" t="s">
        <v>23</v>
      </c>
      <c r="AC15" s="986" t="s">
        <v>29</v>
      </c>
      <c r="AD15" s="988">
        <v>0.24</v>
      </c>
      <c r="AE15" s="986" t="s">
        <v>30</v>
      </c>
      <c r="AF15" s="988">
        <v>0.24</v>
      </c>
      <c r="AG15" s="986" t="s">
        <v>588</v>
      </c>
      <c r="AH15" s="990">
        <v>-1</v>
      </c>
      <c r="AI15" s="986" t="s">
        <v>31</v>
      </c>
      <c r="AJ15" s="990">
        <v>2</v>
      </c>
      <c r="AK15" s="986" t="s">
        <v>589</v>
      </c>
      <c r="AL15" s="990">
        <v>-2</v>
      </c>
      <c r="AM15" s="986" t="s">
        <v>33</v>
      </c>
      <c r="AN15" s="990">
        <v>-5</v>
      </c>
      <c r="AO15" s="986" t="s">
        <v>34</v>
      </c>
      <c r="AP15" s="989">
        <v>0.18</v>
      </c>
      <c r="AQ15" s="986" t="s">
        <v>563</v>
      </c>
      <c r="AR15" s="1027" t="s">
        <v>590</v>
      </c>
      <c r="AS15" s="986"/>
      <c r="AT15" s="989"/>
      <c r="AU15" s="986"/>
      <c r="AV15" s="1027"/>
      <c r="AW15" s="1500"/>
      <c r="AX15" s="1514"/>
      <c r="AY15" s="1500"/>
      <c r="AZ15" s="1514"/>
      <c r="BA15" s="985"/>
      <c r="BB15" s="1516"/>
    </row>
    <row r="16" spans="1:54" ht="33" customHeight="1" x14ac:dyDescent="0.25">
      <c r="A16" s="394" t="s">
        <v>24</v>
      </c>
      <c r="B16" s="415"/>
      <c r="C16" s="416">
        <v>1</v>
      </c>
      <c r="D16" s="515">
        <f>Примерочная!$N$7*VLOOKUP(Таблица_шлемы[[#This Row],[название]],Таблица_моды_шлемы[],4,0)+Примерочная!$M$7*VLOOKUP(Таблица_шлемы[[#This Row],[название]],Таблица_моды_шлемы[],5,0)</f>
        <v>0</v>
      </c>
      <c r="E16" s="417">
        <v>6</v>
      </c>
      <c r="F16" s="519">
        <f>Таблица_шлемы[[#This Row],[защита]]*(Примерочная!$J$7*VLOOKUP(Таблица_шлемы[[#This Row],[название]],Таблица_моды_шлемы[],2,0)+Примерочная!$O$7*VLOOKUP(Таблица_шлемы[[#This Row],[название]],Таблица_моды_шлемы[],3,0))</f>
        <v>0</v>
      </c>
      <c r="G16" s="378">
        <v>4</v>
      </c>
      <c r="H16" s="355">
        <v>8</v>
      </c>
      <c r="I16" s="356">
        <v>8</v>
      </c>
      <c r="J16" s="515">
        <f>Примерочная!$O$7*VLOOKUP(Таблица_шлемы[[#This Row],[название]],Таблица_моды_шлемы[],6,0)</f>
        <v>0</v>
      </c>
      <c r="K16" s="417">
        <v>5</v>
      </c>
      <c r="L16" s="515">
        <f>Примерочная!$M$7*VLOOKUP(Таблица_шлемы[[#This Row],[название]],Таблица_моды_шлемы[],9,0)+Примерочная!$N$7*VLOOKUP(Таблица_шлемы[[#This Row],[название]],Таблица_моды_шлемы[],10,0)</f>
        <v>0</v>
      </c>
      <c r="M16" s="417">
        <v>0</v>
      </c>
      <c r="N16" s="515">
        <f>Примерочная!$L$7*VLOOKUP(Таблица_шлемы[[#This Row],[название]],Таблица_моды_шлемы[],11,0)</f>
        <v>0</v>
      </c>
      <c r="O16" s="425">
        <v>0</v>
      </c>
      <c r="P16" s="423">
        <v>0</v>
      </c>
      <c r="Q16" s="514">
        <f>Примерочная!$L$7*VLOOKUP(Таблица_шлемы[[#This Row],[название]],Таблица_моды_шлемы[],12,0)</f>
        <v>0</v>
      </c>
      <c r="R16" s="172">
        <v>0</v>
      </c>
      <c r="S16" s="510">
        <f>Примерочная!$K$7*VLOOKUP(Таблица_шлемы[[#This Row],[название]],Таблица_моды_шлемы[],13,0)</f>
        <v>0</v>
      </c>
      <c r="T16" s="490">
        <v>0</v>
      </c>
      <c r="U16" s="506">
        <f>Примерочная!$K$7*VLOOKUP(Таблица_шлемы[[#This Row],[название]],Таблица_моды_шлемы[],14,0)</f>
        <v>0</v>
      </c>
      <c r="V16" s="485">
        <v>0</v>
      </c>
      <c r="W16" s="394"/>
      <c r="X16" s="394">
        <v>14</v>
      </c>
      <c r="Y16" s="394"/>
      <c r="Z16" s="424">
        <v>7</v>
      </c>
      <c r="AB16" s="993" t="s">
        <v>24</v>
      </c>
      <c r="AC16" s="986" t="s">
        <v>29</v>
      </c>
      <c r="AD16" s="988">
        <v>0.26</v>
      </c>
      <c r="AE16" s="986" t="s">
        <v>30</v>
      </c>
      <c r="AF16" s="988">
        <v>0.26</v>
      </c>
      <c r="AG16" s="986" t="s">
        <v>588</v>
      </c>
      <c r="AH16" s="990">
        <v>1</v>
      </c>
      <c r="AI16" s="986" t="s">
        <v>31</v>
      </c>
      <c r="AJ16" s="990">
        <v>3</v>
      </c>
      <c r="AK16" s="986" t="s">
        <v>589</v>
      </c>
      <c r="AL16" s="990">
        <v>-2</v>
      </c>
      <c r="AM16" s="986" t="s">
        <v>33</v>
      </c>
      <c r="AN16" s="990">
        <v>-5</v>
      </c>
      <c r="AO16" s="986" t="s">
        <v>34</v>
      </c>
      <c r="AP16" s="989">
        <v>0.21</v>
      </c>
      <c r="AQ16" s="986" t="s">
        <v>563</v>
      </c>
      <c r="AR16" s="1027" t="s">
        <v>590</v>
      </c>
      <c r="AS16" s="986"/>
      <c r="AT16" s="989"/>
      <c r="AU16" s="986"/>
      <c r="AV16" s="1027"/>
      <c r="AW16" s="1500"/>
      <c r="AX16" s="1514"/>
      <c r="AY16" s="1500"/>
      <c r="AZ16" s="1514"/>
      <c r="BA16" s="985"/>
      <c r="BB16" s="1516"/>
    </row>
    <row r="17" spans="1:61" ht="33" customHeight="1" x14ac:dyDescent="0.25">
      <c r="A17" s="394" t="s">
        <v>25</v>
      </c>
      <c r="B17" s="415"/>
      <c r="C17" s="416">
        <v>1</v>
      </c>
      <c r="D17" s="515">
        <f>Примерочная!$N$7*VLOOKUP(Таблица_шлемы[[#This Row],[название]],Таблица_моды_шлемы[],4,0)+Примерочная!$M$7*VLOOKUP(Таблица_шлемы[[#This Row],[название]],Таблица_моды_шлемы[],5,0)</f>
        <v>0</v>
      </c>
      <c r="E17" s="417">
        <v>9</v>
      </c>
      <c r="F17" s="519">
        <f>Таблица_шлемы[[#This Row],[защита]]*(Примерочная!$J$7*VLOOKUP(Таблица_шлемы[[#This Row],[название]],Таблица_моды_шлемы[],2,0)+Примерочная!$O$7*VLOOKUP(Таблица_шлемы[[#This Row],[название]],Таблица_моды_шлемы[],3,0))</f>
        <v>0</v>
      </c>
      <c r="G17" s="378">
        <v>4</v>
      </c>
      <c r="H17" s="355">
        <v>8</v>
      </c>
      <c r="I17" s="356">
        <v>8</v>
      </c>
      <c r="J17" s="515">
        <f>Примерочная!$O$7*VLOOKUP(Таблица_шлемы[[#This Row],[название]],Таблица_моды_шлемы[],6,0)</f>
        <v>0</v>
      </c>
      <c r="K17" s="417">
        <v>5</v>
      </c>
      <c r="L17" s="515">
        <f>Примерочная!$M$7*VLOOKUP(Таблица_шлемы[[#This Row],[название]],Таблица_моды_шлемы[],9,0)+Примерочная!$N$7*VLOOKUP(Таблица_шлемы[[#This Row],[название]],Таблица_моды_шлемы[],10,0)</f>
        <v>0</v>
      </c>
      <c r="M17" s="417">
        <v>0</v>
      </c>
      <c r="N17" s="515">
        <f>Примерочная!$L$7*VLOOKUP(Таблица_шлемы[[#This Row],[название]],Таблица_моды_шлемы[],11,0)</f>
        <v>0</v>
      </c>
      <c r="O17" s="425">
        <v>0</v>
      </c>
      <c r="P17" s="423">
        <v>0</v>
      </c>
      <c r="Q17" s="514">
        <f>Примерочная!$L$7*VLOOKUP(Таблица_шлемы[[#This Row],[название]],Таблица_моды_шлемы[],12,0)</f>
        <v>0</v>
      </c>
      <c r="R17" s="172">
        <v>0</v>
      </c>
      <c r="S17" s="510">
        <f>Примерочная!$K$7*VLOOKUP(Таблица_шлемы[[#This Row],[название]],Таблица_моды_шлемы[],13,0)</f>
        <v>0</v>
      </c>
      <c r="T17" s="490">
        <v>0</v>
      </c>
      <c r="U17" s="506">
        <f>Примерочная!$K$7*VLOOKUP(Таблица_шлемы[[#This Row],[название]],Таблица_моды_шлемы[],14,0)</f>
        <v>0</v>
      </c>
      <c r="V17" s="485">
        <v>0</v>
      </c>
      <c r="W17" s="394"/>
      <c r="X17" s="394">
        <v>18</v>
      </c>
      <c r="Y17" s="394"/>
      <c r="Z17" s="424">
        <v>7</v>
      </c>
      <c r="AB17" s="993" t="s">
        <v>25</v>
      </c>
      <c r="AC17" s="986" t="s">
        <v>29</v>
      </c>
      <c r="AD17" s="988">
        <v>0.28000000000000003</v>
      </c>
      <c r="AE17" s="986" t="s">
        <v>30</v>
      </c>
      <c r="AF17" s="988">
        <v>0.28000000000000003</v>
      </c>
      <c r="AG17" s="986" t="s">
        <v>588</v>
      </c>
      <c r="AH17" s="990">
        <v>-1</v>
      </c>
      <c r="AI17" s="986" t="s">
        <v>31</v>
      </c>
      <c r="AJ17" s="990">
        <v>4</v>
      </c>
      <c r="AK17" s="986" t="s">
        <v>589</v>
      </c>
      <c r="AL17" s="990">
        <v>-2</v>
      </c>
      <c r="AM17" s="986" t="s">
        <v>33</v>
      </c>
      <c r="AN17" s="990">
        <v>-5</v>
      </c>
      <c r="AO17" s="986" t="s">
        <v>34</v>
      </c>
      <c r="AP17" s="989">
        <v>0.24</v>
      </c>
      <c r="AQ17" s="986" t="s">
        <v>563</v>
      </c>
      <c r="AR17" s="1027" t="s">
        <v>590</v>
      </c>
      <c r="AS17" s="986"/>
      <c r="AT17" s="989"/>
      <c r="AU17" s="986"/>
      <c r="AV17" s="1027"/>
      <c r="AW17" s="1500"/>
      <c r="AX17" s="1514"/>
      <c r="AY17" s="1500"/>
      <c r="AZ17" s="1514"/>
      <c r="BA17" s="985"/>
      <c r="BB17" s="1516"/>
    </row>
    <row r="18" spans="1:61" ht="33" customHeight="1" x14ac:dyDescent="0.25">
      <c r="A18" s="394" t="s">
        <v>26</v>
      </c>
      <c r="B18" s="415"/>
      <c r="C18" s="416">
        <v>0</v>
      </c>
      <c r="D18" s="515">
        <f>Примерочная!$N$7*VLOOKUP(Таблица_шлемы[[#This Row],[название]],Таблица_моды_шлемы[],4,0)+Примерочная!$M$7*VLOOKUP(Таблица_шлемы[[#This Row],[название]],Таблица_моды_шлемы[],5,0)</f>
        <v>0</v>
      </c>
      <c r="E18" s="417">
        <v>12</v>
      </c>
      <c r="F18" s="519">
        <f>Таблица_шлемы[[#This Row],[защита]]*(Примерочная!$J$7*VLOOKUP(Таблица_шлемы[[#This Row],[название]],Таблица_моды_шлемы[],2,0)+Примерочная!$O$7*VLOOKUP(Таблица_шлемы[[#This Row],[название]],Таблица_моды_шлемы[],3,0))</f>
        <v>0</v>
      </c>
      <c r="G18" s="378">
        <v>4</v>
      </c>
      <c r="H18" s="355">
        <v>8</v>
      </c>
      <c r="I18" s="356">
        <v>8</v>
      </c>
      <c r="J18" s="515">
        <f>Примерочная!$O$7*VLOOKUP(Таблица_шлемы[[#This Row],[название]],Таблица_моды_шлемы[],6,0)</f>
        <v>0</v>
      </c>
      <c r="K18" s="417">
        <v>5</v>
      </c>
      <c r="L18" s="515">
        <f>Примерочная!$M$7*VLOOKUP(Таблица_шлемы[[#This Row],[название]],Таблица_моды_шлемы[],9,0)+Примерочная!$N$7*VLOOKUP(Таблица_шлемы[[#This Row],[название]],Таблица_моды_шлемы[],10,0)</f>
        <v>0</v>
      </c>
      <c r="M18" s="417">
        <v>0</v>
      </c>
      <c r="N18" s="515">
        <f>Примерочная!$L$7*VLOOKUP(Таблица_шлемы[[#This Row],[название]],Таблица_моды_шлемы[],11,0)</f>
        <v>0</v>
      </c>
      <c r="O18" s="425">
        <v>0</v>
      </c>
      <c r="P18" s="423">
        <v>0</v>
      </c>
      <c r="Q18" s="514">
        <f>Примерочная!$L$7*VLOOKUP(Таблица_шлемы[[#This Row],[название]],Таблица_моды_шлемы[],12,0)</f>
        <v>0</v>
      </c>
      <c r="R18" s="172">
        <v>0</v>
      </c>
      <c r="S18" s="510">
        <f>Примерочная!$K$7*VLOOKUP(Таблица_шлемы[[#This Row],[название]],Таблица_моды_шлемы[],13,0)</f>
        <v>0</v>
      </c>
      <c r="T18" s="490">
        <v>0</v>
      </c>
      <c r="U18" s="506">
        <f>Примерочная!$K$7*VLOOKUP(Таблица_шлемы[[#This Row],[название]],Таблица_моды_шлемы[],14,0)</f>
        <v>0</v>
      </c>
      <c r="V18" s="485">
        <v>0</v>
      </c>
      <c r="W18" s="394"/>
      <c r="X18" s="394">
        <v>22</v>
      </c>
      <c r="Y18" s="394"/>
      <c r="Z18" s="424">
        <v>7</v>
      </c>
      <c r="AB18" s="993" t="s">
        <v>26</v>
      </c>
      <c r="AC18" s="986" t="s">
        <v>29</v>
      </c>
      <c r="AD18" s="988">
        <v>0.3</v>
      </c>
      <c r="AE18" s="986" t="s">
        <v>30</v>
      </c>
      <c r="AF18" s="988">
        <v>0.3</v>
      </c>
      <c r="AG18" s="986" t="s">
        <v>588</v>
      </c>
      <c r="AH18" s="990">
        <v>-1</v>
      </c>
      <c r="AI18" s="986" t="s">
        <v>31</v>
      </c>
      <c r="AJ18" s="990">
        <v>4</v>
      </c>
      <c r="AK18" s="986" t="s">
        <v>589</v>
      </c>
      <c r="AL18" s="990">
        <v>-2</v>
      </c>
      <c r="AM18" s="986" t="s">
        <v>33</v>
      </c>
      <c r="AN18" s="990">
        <v>-5</v>
      </c>
      <c r="AO18" s="986" t="s">
        <v>34</v>
      </c>
      <c r="AP18" s="989">
        <v>0.27</v>
      </c>
      <c r="AQ18" s="986" t="s">
        <v>563</v>
      </c>
      <c r="AR18" s="1027" t="s">
        <v>591</v>
      </c>
      <c r="AS18" s="986"/>
      <c r="AT18" s="989"/>
      <c r="AU18" s="986"/>
      <c r="AV18" s="1027"/>
      <c r="AW18" s="1500"/>
      <c r="AX18" s="1514"/>
      <c r="AY18" s="1500"/>
      <c r="AZ18" s="1514"/>
      <c r="BA18" s="985"/>
      <c r="BB18" s="1516"/>
    </row>
    <row r="19" spans="1:61" ht="33" customHeight="1" x14ac:dyDescent="0.25">
      <c r="A19" s="394" t="s">
        <v>27</v>
      </c>
      <c r="B19" s="415"/>
      <c r="C19" s="416">
        <v>-1</v>
      </c>
      <c r="D19" s="515">
        <f>Примерочная!$N$7*VLOOKUP(Таблица_шлемы[[#This Row],[название]],Таблица_моды_шлемы[],4,0)+Примерочная!$M$7*VLOOKUP(Таблица_шлемы[[#This Row],[название]],Таблица_моды_шлемы[],5,0)</f>
        <v>0</v>
      </c>
      <c r="E19" s="417">
        <v>14</v>
      </c>
      <c r="F19" s="519">
        <f>Таблица_шлемы[[#This Row],[защита]]*(Примерочная!$J$7*VLOOKUP(Таблица_шлемы[[#This Row],[название]],Таблица_моды_шлемы[],2,0)+Примерочная!$O$7*VLOOKUP(Таблица_шлемы[[#This Row],[название]],Таблица_моды_шлемы[],3,0))</f>
        <v>0</v>
      </c>
      <c r="G19" s="378">
        <v>4</v>
      </c>
      <c r="H19" s="355">
        <v>8</v>
      </c>
      <c r="I19" s="356">
        <v>8</v>
      </c>
      <c r="J19" s="515">
        <f>Примерочная!$O$7*VLOOKUP(Таблица_шлемы[[#This Row],[название]],Таблица_моды_шлемы[],6,0)</f>
        <v>0</v>
      </c>
      <c r="K19" s="417">
        <v>5</v>
      </c>
      <c r="L19" s="515">
        <f>Примерочная!$M$7*VLOOKUP(Таблица_шлемы[[#This Row],[название]],Таблица_моды_шлемы[],9,0)+Примерочная!$N$7*VLOOKUP(Таблица_шлемы[[#This Row],[название]],Таблица_моды_шлемы[],10,0)</f>
        <v>0</v>
      </c>
      <c r="M19" s="417">
        <v>0</v>
      </c>
      <c r="N19" s="515">
        <f>Примерочная!$L$7*VLOOKUP(Таблица_шлемы[[#This Row],[название]],Таблица_моды_шлемы[],11,0)</f>
        <v>0</v>
      </c>
      <c r="O19" s="425">
        <v>0</v>
      </c>
      <c r="P19" s="423">
        <v>0</v>
      </c>
      <c r="Q19" s="514">
        <f>Примерочная!$L$7*VLOOKUP(Таблица_шлемы[[#This Row],[название]],Таблица_моды_шлемы[],12,0)</f>
        <v>0</v>
      </c>
      <c r="R19" s="172">
        <v>0</v>
      </c>
      <c r="S19" s="510">
        <f>Примерочная!$K$7*VLOOKUP(Таблица_шлемы[[#This Row],[название]],Таблица_моды_шлемы[],13,0)</f>
        <v>0</v>
      </c>
      <c r="T19" s="490">
        <v>0</v>
      </c>
      <c r="U19" s="506">
        <f>Примерочная!$K$7*VLOOKUP(Таблица_шлемы[[#This Row],[название]],Таблица_моды_шлемы[],14,0)</f>
        <v>0</v>
      </c>
      <c r="V19" s="485">
        <v>0</v>
      </c>
      <c r="W19" s="394"/>
      <c r="X19" s="394">
        <v>27</v>
      </c>
      <c r="Y19" s="394"/>
      <c r="Z19" s="424">
        <v>7</v>
      </c>
      <c r="AB19" s="993" t="s">
        <v>27</v>
      </c>
      <c r="AC19" s="986" t="s">
        <v>29</v>
      </c>
      <c r="AD19" s="988">
        <v>0.32</v>
      </c>
      <c r="AE19" s="986" t="s">
        <v>30</v>
      </c>
      <c r="AF19" s="988">
        <v>0.32</v>
      </c>
      <c r="AG19" s="986" t="s">
        <v>588</v>
      </c>
      <c r="AH19" s="990">
        <v>-1</v>
      </c>
      <c r="AI19" s="986" t="s">
        <v>31</v>
      </c>
      <c r="AJ19" s="990">
        <v>4</v>
      </c>
      <c r="AK19" s="986" t="s">
        <v>589</v>
      </c>
      <c r="AL19" s="990">
        <v>-2</v>
      </c>
      <c r="AM19" s="986" t="s">
        <v>33</v>
      </c>
      <c r="AN19" s="990">
        <v>-5</v>
      </c>
      <c r="AO19" s="986" t="s">
        <v>34</v>
      </c>
      <c r="AP19" s="989">
        <v>0.3</v>
      </c>
      <c r="AQ19" s="986" t="s">
        <v>563</v>
      </c>
      <c r="AR19" s="1027" t="s">
        <v>586</v>
      </c>
      <c r="AS19" s="986"/>
      <c r="AT19" s="989"/>
      <c r="AU19" s="986"/>
      <c r="AV19" s="1027"/>
      <c r="AW19" s="1500"/>
      <c r="AX19" s="1514"/>
      <c r="AY19" s="1500"/>
      <c r="AZ19" s="1514"/>
      <c r="BA19" s="985"/>
      <c r="BB19" s="1516"/>
    </row>
    <row r="20" spans="1:61" ht="33" customHeight="1" thickBot="1" x14ac:dyDescent="0.3">
      <c r="A20" s="394" t="s">
        <v>28</v>
      </c>
      <c r="B20" s="415"/>
      <c r="C20" s="416">
        <v>-1</v>
      </c>
      <c r="D20" s="515">
        <f>Примерочная!$N$7*VLOOKUP(Таблица_шлемы[[#This Row],[название]],Таблица_моды_шлемы[],4,0)+Примерочная!$M$7*VLOOKUP(Таблица_шлемы[[#This Row],[название]],Таблица_моды_шлемы[],5,0)</f>
        <v>0</v>
      </c>
      <c r="E20" s="417">
        <v>17</v>
      </c>
      <c r="F20" s="519">
        <f>Таблица_шлемы[[#This Row],[защита]]*(Примерочная!$J$7*VLOOKUP(Таблица_шлемы[[#This Row],[название]],Таблица_моды_шлемы[],2,0)+Примерочная!$O$7*VLOOKUP(Таблица_шлемы[[#This Row],[название]],Таблица_моды_шлемы[],3,0))</f>
        <v>0</v>
      </c>
      <c r="G20" s="378">
        <v>4</v>
      </c>
      <c r="H20" s="355">
        <v>8</v>
      </c>
      <c r="I20" s="356">
        <v>8</v>
      </c>
      <c r="J20" s="515">
        <f>Примерочная!$O$7*VLOOKUP(Таблица_шлемы[[#This Row],[название]],Таблица_моды_шлемы[],6,0)</f>
        <v>0</v>
      </c>
      <c r="K20" s="417">
        <v>5</v>
      </c>
      <c r="L20" s="515">
        <f>Примерочная!$M$7*VLOOKUP(Таблица_шлемы[[#This Row],[название]],Таблица_моды_шлемы[],9,0)+Примерочная!$N$7*VLOOKUP(Таблица_шлемы[[#This Row],[название]],Таблица_моды_шлемы[],10,0)</f>
        <v>0</v>
      </c>
      <c r="M20" s="417">
        <v>0</v>
      </c>
      <c r="N20" s="515">
        <f>Примерочная!$L$7*VLOOKUP(Таблица_шлемы[[#This Row],[название]],Таблица_моды_шлемы[],11,0)</f>
        <v>0</v>
      </c>
      <c r="O20" s="425">
        <v>0</v>
      </c>
      <c r="P20" s="423">
        <v>0</v>
      </c>
      <c r="Q20" s="514">
        <f>Примерочная!$L$7*VLOOKUP(Таблица_шлемы[[#This Row],[название]],Таблица_моды_шлемы[],12,0)</f>
        <v>0</v>
      </c>
      <c r="R20" s="172">
        <v>0</v>
      </c>
      <c r="S20" s="510">
        <f>Примерочная!$K$7*VLOOKUP(Таблица_шлемы[[#This Row],[название]],Таблица_моды_шлемы[],13,0)</f>
        <v>0</v>
      </c>
      <c r="T20" s="490">
        <v>0</v>
      </c>
      <c r="U20" s="506">
        <f>Примерочная!$K$7*VLOOKUP(Таблица_шлемы[[#This Row],[название]],Таблица_моды_шлемы[],14,0)</f>
        <v>0</v>
      </c>
      <c r="V20" s="485">
        <v>0</v>
      </c>
      <c r="W20" s="394"/>
      <c r="X20" s="394">
        <v>35</v>
      </c>
      <c r="Y20" s="394"/>
      <c r="Z20" s="424">
        <v>7</v>
      </c>
      <c r="AB20" s="994" t="s">
        <v>28</v>
      </c>
      <c r="AC20" s="987" t="s">
        <v>29</v>
      </c>
      <c r="AD20" s="991">
        <v>0.34</v>
      </c>
      <c r="AE20" s="987" t="s">
        <v>30</v>
      </c>
      <c r="AF20" s="991">
        <v>0.34</v>
      </c>
      <c r="AG20" s="987" t="s">
        <v>588</v>
      </c>
      <c r="AH20" s="995">
        <v>-1</v>
      </c>
      <c r="AI20" s="987" t="s">
        <v>31</v>
      </c>
      <c r="AJ20" s="995">
        <v>5</v>
      </c>
      <c r="AK20" s="987" t="s">
        <v>589</v>
      </c>
      <c r="AL20" s="995">
        <v>-2</v>
      </c>
      <c r="AM20" s="987" t="s">
        <v>33</v>
      </c>
      <c r="AN20" s="995">
        <v>-5</v>
      </c>
      <c r="AO20" s="987" t="s">
        <v>34</v>
      </c>
      <c r="AP20" s="992">
        <v>0.33</v>
      </c>
      <c r="AQ20" s="987" t="s">
        <v>563</v>
      </c>
      <c r="AR20" s="1028" t="s">
        <v>586</v>
      </c>
      <c r="AS20" s="987"/>
      <c r="AT20" s="992"/>
      <c r="AU20" s="987"/>
      <c r="AV20" s="1028"/>
      <c r="AW20" s="1502"/>
      <c r="AX20" s="1519"/>
      <c r="AY20" s="1502"/>
      <c r="AZ20" s="1519"/>
      <c r="BA20" s="1503"/>
      <c r="BB20" s="1517"/>
    </row>
    <row r="21" spans="1:61" ht="33" customHeight="1" thickBot="1" x14ac:dyDescent="0.3">
      <c r="A21" s="422"/>
      <c r="B21" s="426"/>
      <c r="C21" s="422"/>
      <c r="D21" s="515"/>
      <c r="E21" s="417"/>
      <c r="F21" s="519"/>
      <c r="G21" s="378"/>
      <c r="H21" s="355"/>
      <c r="I21" s="356"/>
      <c r="J21" s="515"/>
      <c r="K21" s="417"/>
      <c r="L21" s="515"/>
      <c r="M21" s="417"/>
      <c r="N21" s="515"/>
      <c r="O21" s="425"/>
      <c r="P21" s="423"/>
      <c r="Q21" s="514"/>
      <c r="R21" s="172"/>
      <c r="S21" s="510"/>
      <c r="T21" s="490"/>
      <c r="U21" s="506"/>
      <c r="V21" s="485"/>
      <c r="W21" s="394"/>
      <c r="X21" s="394"/>
      <c r="Y21" s="394"/>
      <c r="Z21" s="424"/>
      <c r="AB21" s="1005"/>
      <c r="AC21" s="1006"/>
      <c r="AD21" s="1007"/>
      <c r="AE21" s="1006"/>
      <c r="AF21" s="1009"/>
      <c r="AG21" s="1006"/>
      <c r="AH21" s="1009"/>
      <c r="AI21" s="1006"/>
      <c r="AJ21" s="1009"/>
      <c r="AK21" s="1006"/>
      <c r="AL21" s="1009"/>
      <c r="AM21" s="1006"/>
      <c r="AN21" s="1009"/>
      <c r="AO21" s="1006"/>
      <c r="AP21" s="1009"/>
      <c r="AQ21" s="1006"/>
      <c r="AR21" s="1029"/>
      <c r="AS21" s="1006"/>
      <c r="AT21" s="1009"/>
      <c r="AU21" s="1006"/>
      <c r="AV21" s="1496"/>
      <c r="AW21" s="1506"/>
      <c r="AX21" s="1507"/>
      <c r="AY21" s="1506"/>
      <c r="AZ21" s="1507"/>
      <c r="BA21" s="1508"/>
      <c r="BB21" s="1507"/>
    </row>
    <row r="22" spans="1:61" ht="33" customHeight="1" x14ac:dyDescent="0.25">
      <c r="A22" s="394" t="s">
        <v>37</v>
      </c>
      <c r="B22" s="415"/>
      <c r="C22" s="416">
        <v>-1</v>
      </c>
      <c r="D22" s="515">
        <f>Примерочная!$N$7*VLOOKUP(Таблица_шлемы[[#This Row],[название]],Таблица_моды_шлемы[],4,0)+Примерочная!$M$7*VLOOKUP(Таблица_шлемы[[#This Row],[название]],Таблица_моды_шлемы[],5,0)</f>
        <v>0</v>
      </c>
      <c r="E22" s="417">
        <v>4</v>
      </c>
      <c r="F22" s="519">
        <f>Таблица_шлемы[[#This Row],[защита]]*(Примерочная!$J$7*VLOOKUP(Таблица_шлемы[[#This Row],[название]],Таблица_моды_шлемы[],2,0)+Примерочная!$O$7*VLOOKUP(Таблица_шлемы[[#This Row],[название]],Таблица_моды_шлемы[],3,0))</f>
        <v>0</v>
      </c>
      <c r="G22" s="378">
        <v>14</v>
      </c>
      <c r="H22" s="355">
        <v>4</v>
      </c>
      <c r="I22" s="356">
        <v>12</v>
      </c>
      <c r="J22" s="515">
        <f>Примерочная!$O$7*VLOOKUP(Таблица_шлемы[[#This Row],[название]],Таблица_моды_шлемы[],6,0)</f>
        <v>0</v>
      </c>
      <c r="K22" s="417">
        <v>0</v>
      </c>
      <c r="L22" s="515">
        <f>Примерочная!$M$7*VLOOKUP(Таблица_шлемы[[#This Row],[название]],Таблица_моды_шлемы[],9,0)+Примерочная!$N$7*VLOOKUP(Таблица_шлемы[[#This Row],[название]],Таблица_моды_шлемы[],10,0)</f>
        <v>0</v>
      </c>
      <c r="M22" s="417">
        <v>2</v>
      </c>
      <c r="N22" s="515">
        <f>Примерочная!$L$7*VLOOKUP(Таблица_шлемы[[#This Row],[название]],Таблица_моды_шлемы[],11,0)</f>
        <v>0</v>
      </c>
      <c r="O22" s="425">
        <v>0.01</v>
      </c>
      <c r="P22" s="423">
        <v>0</v>
      </c>
      <c r="Q22" s="514">
        <f>Примерочная!$L$7*VLOOKUP(Таблица_шлемы[[#This Row],[название]],Таблица_моды_шлемы[],12,0)</f>
        <v>0</v>
      </c>
      <c r="R22" s="172">
        <v>0</v>
      </c>
      <c r="S22" s="510">
        <f>Примерочная!$K$7*VLOOKUP(Таблица_шлемы[[#This Row],[название]],Таблица_моды_шлемы[],13,0)</f>
        <v>0</v>
      </c>
      <c r="T22" s="490">
        <v>0</v>
      </c>
      <c r="U22" s="506">
        <f>Примерочная!$K$7*VLOOKUP(Таблица_шлемы[[#This Row],[название]],Таблица_моды_шлемы[],14,0)</f>
        <v>0</v>
      </c>
      <c r="V22" s="485">
        <v>0</v>
      </c>
      <c r="W22" s="394"/>
      <c r="X22" s="394"/>
      <c r="Y22" s="394">
        <v>1</v>
      </c>
      <c r="Z22" s="424">
        <v>7</v>
      </c>
      <c r="AB22" s="997" t="s">
        <v>37</v>
      </c>
      <c r="AC22" s="998" t="s">
        <v>570</v>
      </c>
      <c r="AD22" s="999">
        <v>-0.15</v>
      </c>
      <c r="AE22" s="998" t="s">
        <v>569</v>
      </c>
      <c r="AF22" s="1001">
        <v>-0.03</v>
      </c>
      <c r="AG22" s="998" t="s">
        <v>47</v>
      </c>
      <c r="AH22" s="999" t="s">
        <v>573</v>
      </c>
      <c r="AI22" s="998" t="s">
        <v>48</v>
      </c>
      <c r="AJ22" s="1000">
        <v>-6</v>
      </c>
      <c r="AK22" s="998" t="s">
        <v>49</v>
      </c>
      <c r="AL22" s="1000">
        <v>-20</v>
      </c>
      <c r="AM22" s="998" t="s">
        <v>50</v>
      </c>
      <c r="AN22" s="1001" t="s">
        <v>592</v>
      </c>
      <c r="AO22" s="998" t="s">
        <v>564</v>
      </c>
      <c r="AP22" s="1001">
        <v>0.25</v>
      </c>
      <c r="AQ22" s="998" t="s">
        <v>435</v>
      </c>
      <c r="AR22" s="1030" t="s">
        <v>583</v>
      </c>
      <c r="AS22" s="998"/>
      <c r="AT22" s="1001"/>
      <c r="AU22" s="998"/>
      <c r="AV22" s="1030"/>
      <c r="AW22" s="1509"/>
      <c r="AX22" s="1518"/>
      <c r="AY22" s="1509"/>
      <c r="AZ22" s="1518"/>
      <c r="BA22" s="1505"/>
      <c r="BB22" s="1520"/>
    </row>
    <row r="23" spans="1:61" ht="33" customHeight="1" x14ac:dyDescent="0.25">
      <c r="A23" s="394" t="s">
        <v>38</v>
      </c>
      <c r="B23" s="415"/>
      <c r="C23" s="416">
        <v>-3</v>
      </c>
      <c r="D23" s="515">
        <f>Примерочная!$N$7*VLOOKUP(Таблица_шлемы[[#This Row],[название]],Таблица_моды_шлемы[],4,0)+Примерочная!$M$7*VLOOKUP(Таблица_шлемы[[#This Row],[название]],Таблица_моды_шлемы[],5,0)</f>
        <v>0</v>
      </c>
      <c r="E23" s="417">
        <v>7</v>
      </c>
      <c r="F23" s="519">
        <f>Таблица_шлемы[[#This Row],[защита]]*(Примерочная!$J$7*VLOOKUP(Таблица_шлемы[[#This Row],[название]],Таблица_моды_шлемы[],2,0)+Примерочная!$O$7*VLOOKUP(Таблица_шлемы[[#This Row],[название]],Таблица_моды_шлемы[],3,0))</f>
        <v>0</v>
      </c>
      <c r="G23" s="378">
        <v>14</v>
      </c>
      <c r="H23" s="355">
        <v>4</v>
      </c>
      <c r="I23" s="356">
        <v>12</v>
      </c>
      <c r="J23" s="515">
        <f>Примерочная!$O$7*VLOOKUP(Таблица_шлемы[[#This Row],[название]],Таблица_моды_шлемы[],6,0)</f>
        <v>0</v>
      </c>
      <c r="K23" s="417">
        <v>0</v>
      </c>
      <c r="L23" s="515">
        <f>Примерочная!$M$7*VLOOKUP(Таблица_шлемы[[#This Row],[название]],Таблица_моды_шлемы[],9,0)+Примерочная!$N$7*VLOOKUP(Таблица_шлемы[[#This Row],[название]],Таблица_моды_шлемы[],10,0)</f>
        <v>0</v>
      </c>
      <c r="M23" s="417">
        <v>2</v>
      </c>
      <c r="N23" s="515">
        <f>Примерочная!$L$7*VLOOKUP(Таблица_шлемы[[#This Row],[название]],Таблица_моды_шлемы[],11,0)</f>
        <v>0</v>
      </c>
      <c r="O23" s="425">
        <v>0.01</v>
      </c>
      <c r="P23" s="423">
        <v>0</v>
      </c>
      <c r="Q23" s="514">
        <f>Примерочная!$L$7*VLOOKUP(Таблица_шлемы[[#This Row],[название]],Таблица_моды_шлемы[],12,0)</f>
        <v>0</v>
      </c>
      <c r="R23" s="172">
        <v>0</v>
      </c>
      <c r="S23" s="510">
        <f>Примерочная!$K$7*VLOOKUP(Таблица_шлемы[[#This Row],[название]],Таблица_моды_шлемы[],13,0)</f>
        <v>0</v>
      </c>
      <c r="T23" s="490">
        <v>0</v>
      </c>
      <c r="U23" s="506">
        <f>Примерочная!$K$7*VLOOKUP(Таблица_шлемы[[#This Row],[название]],Таблица_моды_шлемы[],14,0)</f>
        <v>0</v>
      </c>
      <c r="V23" s="485">
        <v>0</v>
      </c>
      <c r="W23" s="394"/>
      <c r="X23" s="394"/>
      <c r="Y23" s="394">
        <v>5</v>
      </c>
      <c r="Z23" s="424">
        <v>7</v>
      </c>
      <c r="AB23" s="993" t="s">
        <v>38</v>
      </c>
      <c r="AC23" s="986" t="s">
        <v>570</v>
      </c>
      <c r="AD23" s="988">
        <v>-0.15</v>
      </c>
      <c r="AE23" s="986" t="s">
        <v>569</v>
      </c>
      <c r="AF23" s="989">
        <v>-0.05</v>
      </c>
      <c r="AG23" s="986" t="s">
        <v>47</v>
      </c>
      <c r="AH23" s="988" t="s">
        <v>574</v>
      </c>
      <c r="AI23" s="986" t="s">
        <v>48</v>
      </c>
      <c r="AJ23" s="990">
        <v>-6</v>
      </c>
      <c r="AK23" s="986" t="s">
        <v>49</v>
      </c>
      <c r="AL23" s="990">
        <v>-20</v>
      </c>
      <c r="AM23" s="986" t="s">
        <v>50</v>
      </c>
      <c r="AN23" s="989" t="s">
        <v>592</v>
      </c>
      <c r="AO23" s="986" t="s">
        <v>564</v>
      </c>
      <c r="AP23" s="989">
        <v>0.25</v>
      </c>
      <c r="AQ23" s="986" t="s">
        <v>435</v>
      </c>
      <c r="AR23" s="1027" t="s">
        <v>590</v>
      </c>
      <c r="AS23" s="986"/>
      <c r="AT23" s="989"/>
      <c r="AU23" s="986"/>
      <c r="AV23" s="1027"/>
      <c r="AW23" s="1500"/>
      <c r="AX23" s="1514"/>
      <c r="AY23" s="1500"/>
      <c r="AZ23" s="1514"/>
      <c r="BA23" s="985"/>
      <c r="BB23" s="1516"/>
    </row>
    <row r="24" spans="1:61" ht="33" customHeight="1" x14ac:dyDescent="0.25">
      <c r="A24" s="394" t="s">
        <v>39</v>
      </c>
      <c r="B24" s="415"/>
      <c r="C24" s="416">
        <v>-3</v>
      </c>
      <c r="D24" s="515">
        <f>Примерочная!$N$7*VLOOKUP(Таблица_шлемы[[#This Row],[название]],Таблица_моды_шлемы[],4,0)+Примерочная!$M$7*VLOOKUP(Таблица_шлемы[[#This Row],[название]],Таблица_моды_шлемы[],5,0)</f>
        <v>0</v>
      </c>
      <c r="E24" s="417">
        <v>10</v>
      </c>
      <c r="F24" s="519">
        <f>Таблица_шлемы[[#This Row],[защита]]*(Примерочная!$J$7*VLOOKUP(Таблица_шлемы[[#This Row],[название]],Таблица_моды_шлемы[],2,0)+Примерочная!$O$7*VLOOKUP(Таблица_шлемы[[#This Row],[название]],Таблица_моды_шлемы[],3,0))</f>
        <v>0</v>
      </c>
      <c r="G24" s="378">
        <v>14</v>
      </c>
      <c r="H24" s="355">
        <v>4</v>
      </c>
      <c r="I24" s="356">
        <v>12</v>
      </c>
      <c r="J24" s="515">
        <f>Примерочная!$O$7*VLOOKUP(Таблица_шлемы[[#This Row],[название]],Таблица_моды_шлемы[],6,0)</f>
        <v>0</v>
      </c>
      <c r="K24" s="417">
        <v>0</v>
      </c>
      <c r="L24" s="515">
        <f>Примерочная!$M$7*VLOOKUP(Таблица_шлемы[[#This Row],[название]],Таблица_моды_шлемы[],9,0)+Примерочная!$N$7*VLOOKUP(Таблица_шлемы[[#This Row],[название]],Таблица_моды_шлемы[],10,0)</f>
        <v>0</v>
      </c>
      <c r="M24" s="417">
        <v>2</v>
      </c>
      <c r="N24" s="515">
        <f>Примерочная!$L$7*VLOOKUP(Таблица_шлемы[[#This Row],[название]],Таблица_моды_шлемы[],11,0)</f>
        <v>0</v>
      </c>
      <c r="O24" s="425">
        <v>0.01</v>
      </c>
      <c r="P24" s="423">
        <v>0</v>
      </c>
      <c r="Q24" s="514">
        <f>Примерочная!$L$7*VLOOKUP(Таблица_шлемы[[#This Row],[название]],Таблица_моды_шлемы[],12,0)</f>
        <v>0</v>
      </c>
      <c r="R24" s="172">
        <v>0</v>
      </c>
      <c r="S24" s="510">
        <f>Примерочная!$K$7*VLOOKUP(Таблица_шлемы[[#This Row],[название]],Таблица_моды_шлемы[],13,0)</f>
        <v>0</v>
      </c>
      <c r="T24" s="490">
        <v>0</v>
      </c>
      <c r="U24" s="506">
        <f>Примерочная!$K$7*VLOOKUP(Таблица_шлемы[[#This Row],[название]],Таблица_моды_шлемы[],14,0)</f>
        <v>0</v>
      </c>
      <c r="V24" s="485">
        <v>0</v>
      </c>
      <c r="W24" s="394"/>
      <c r="X24" s="394"/>
      <c r="Y24" s="394">
        <v>10</v>
      </c>
      <c r="Z24" s="424">
        <v>7</v>
      </c>
      <c r="AB24" s="993" t="s">
        <v>39</v>
      </c>
      <c r="AC24" s="986" t="s">
        <v>570</v>
      </c>
      <c r="AD24" s="988">
        <v>-0.15</v>
      </c>
      <c r="AE24" s="986" t="s">
        <v>569</v>
      </c>
      <c r="AF24" s="989">
        <v>-0.06</v>
      </c>
      <c r="AG24" s="986" t="s">
        <v>47</v>
      </c>
      <c r="AH24" s="988" t="s">
        <v>575</v>
      </c>
      <c r="AI24" s="986" t="s">
        <v>48</v>
      </c>
      <c r="AJ24" s="990">
        <v>-6</v>
      </c>
      <c r="AK24" s="986" t="s">
        <v>49</v>
      </c>
      <c r="AL24" s="990">
        <v>-20</v>
      </c>
      <c r="AM24" s="986" t="s">
        <v>50</v>
      </c>
      <c r="AN24" s="989" t="s">
        <v>592</v>
      </c>
      <c r="AO24" s="986" t="s">
        <v>564</v>
      </c>
      <c r="AP24" s="989">
        <v>0.25</v>
      </c>
      <c r="AQ24" s="986" t="s">
        <v>435</v>
      </c>
      <c r="AR24" s="1027" t="s">
        <v>591</v>
      </c>
      <c r="AS24" s="986"/>
      <c r="AT24" s="989"/>
      <c r="AU24" s="986"/>
      <c r="AV24" s="1027"/>
      <c r="AW24" s="1500"/>
      <c r="AX24" s="1514"/>
      <c r="AY24" s="1500"/>
      <c r="AZ24" s="1514"/>
      <c r="BA24" s="985"/>
      <c r="BB24" s="1516"/>
    </row>
    <row r="25" spans="1:61" ht="33" customHeight="1" x14ac:dyDescent="0.25">
      <c r="A25" s="394" t="s">
        <v>40</v>
      </c>
      <c r="B25" s="415"/>
      <c r="C25" s="416">
        <v>-4</v>
      </c>
      <c r="D25" s="515">
        <f>Примерочная!$N$7*VLOOKUP(Таблица_шлемы[[#This Row],[название]],Таблица_моды_шлемы[],4,0)+Примерочная!$M$7*VLOOKUP(Таблица_шлемы[[#This Row],[название]],Таблица_моды_шлемы[],5,0)</f>
        <v>0</v>
      </c>
      <c r="E25" s="417">
        <v>11</v>
      </c>
      <c r="F25" s="519">
        <f>Таблица_шлемы[[#This Row],[защита]]*(Примерочная!$J$7*VLOOKUP(Таблица_шлемы[[#This Row],[название]],Таблица_моды_шлемы[],2,0)+Примерочная!$O$7*VLOOKUP(Таблица_шлемы[[#This Row],[название]],Таблица_моды_шлемы[],3,0))</f>
        <v>0</v>
      </c>
      <c r="G25" s="378">
        <v>14</v>
      </c>
      <c r="H25" s="355">
        <v>4</v>
      </c>
      <c r="I25" s="356">
        <v>12</v>
      </c>
      <c r="J25" s="515">
        <f>Примерочная!$O$7*VLOOKUP(Таблица_шлемы[[#This Row],[название]],Таблица_моды_шлемы[],6,0)</f>
        <v>0</v>
      </c>
      <c r="K25" s="417">
        <v>0</v>
      </c>
      <c r="L25" s="515">
        <f>Примерочная!$M$7*VLOOKUP(Таблица_шлемы[[#This Row],[название]],Таблица_моды_шлемы[],9,0)+Примерочная!$N$7*VLOOKUP(Таблица_шлемы[[#This Row],[название]],Таблица_моды_шлемы[],10,0)</f>
        <v>0</v>
      </c>
      <c r="M25" s="417">
        <v>2</v>
      </c>
      <c r="N25" s="515">
        <f>Примерочная!$L$7*VLOOKUP(Таблица_шлемы[[#This Row],[название]],Таблица_моды_шлемы[],11,0)</f>
        <v>0</v>
      </c>
      <c r="O25" s="425">
        <v>0.01</v>
      </c>
      <c r="P25" s="423">
        <v>0</v>
      </c>
      <c r="Q25" s="514">
        <f>Примерочная!$L$7*VLOOKUP(Таблица_шлемы[[#This Row],[название]],Таблица_моды_шлемы[],12,0)</f>
        <v>0</v>
      </c>
      <c r="R25" s="172">
        <v>0</v>
      </c>
      <c r="S25" s="510">
        <f>Примерочная!$K$7*VLOOKUP(Таблица_шлемы[[#This Row],[название]],Таблица_моды_шлемы[],13,0)</f>
        <v>0</v>
      </c>
      <c r="T25" s="490">
        <v>0</v>
      </c>
      <c r="U25" s="506">
        <f>Примерочная!$K$7*VLOOKUP(Таблица_шлемы[[#This Row],[название]],Таблица_моды_шлемы[],14,0)</f>
        <v>0</v>
      </c>
      <c r="V25" s="485">
        <v>0</v>
      </c>
      <c r="W25" s="394"/>
      <c r="X25" s="394"/>
      <c r="Y25" s="394">
        <v>14</v>
      </c>
      <c r="Z25" s="424">
        <v>7</v>
      </c>
      <c r="AB25" s="993" t="s">
        <v>40</v>
      </c>
      <c r="AC25" s="986" t="s">
        <v>570</v>
      </c>
      <c r="AD25" s="988">
        <v>-0.15</v>
      </c>
      <c r="AE25" s="986" t="s">
        <v>569</v>
      </c>
      <c r="AF25" s="989">
        <v>-0.08</v>
      </c>
      <c r="AG25" s="986" t="s">
        <v>47</v>
      </c>
      <c r="AH25" s="988" t="s">
        <v>576</v>
      </c>
      <c r="AI25" s="986" t="s">
        <v>48</v>
      </c>
      <c r="AJ25" s="990">
        <v>-6</v>
      </c>
      <c r="AK25" s="986" t="s">
        <v>49</v>
      </c>
      <c r="AL25" s="990">
        <v>-20</v>
      </c>
      <c r="AM25" s="986" t="s">
        <v>50</v>
      </c>
      <c r="AN25" s="989" t="s">
        <v>592</v>
      </c>
      <c r="AO25" s="986" t="s">
        <v>564</v>
      </c>
      <c r="AP25" s="989">
        <v>0.25</v>
      </c>
      <c r="AQ25" s="986" t="s">
        <v>435</v>
      </c>
      <c r="AR25" s="1027" t="s">
        <v>586</v>
      </c>
      <c r="AS25" s="986"/>
      <c r="AT25" s="989"/>
      <c r="AU25" s="986"/>
      <c r="AV25" s="1027"/>
      <c r="AW25" s="1500"/>
      <c r="AX25" s="1514"/>
      <c r="AY25" s="1500"/>
      <c r="AZ25" s="1514"/>
      <c r="BA25" s="985"/>
      <c r="BB25" s="1516"/>
    </row>
    <row r="26" spans="1:61" ht="33" customHeight="1" x14ac:dyDescent="0.25">
      <c r="A26" s="394" t="s">
        <v>41</v>
      </c>
      <c r="B26" s="415"/>
      <c r="C26" s="416">
        <v>-4</v>
      </c>
      <c r="D26" s="515">
        <f>Примерочная!$N$7*VLOOKUP(Таблица_шлемы[[#This Row],[название]],Таблица_моды_шлемы[],4,0)+Примерочная!$M$7*VLOOKUP(Таблица_шлемы[[#This Row],[название]],Таблица_моды_шлемы[],5,0)</f>
        <v>0</v>
      </c>
      <c r="E26" s="417">
        <v>14</v>
      </c>
      <c r="F26" s="519">
        <f>Таблица_шлемы[[#This Row],[защита]]*(Примерочная!$J$7*VLOOKUP(Таблица_шлемы[[#This Row],[название]],Таблица_моды_шлемы[],2,0)+Примерочная!$O$7*VLOOKUP(Таблица_шлемы[[#This Row],[название]],Таблица_моды_шлемы[],3,0))</f>
        <v>0</v>
      </c>
      <c r="G26" s="378">
        <v>14</v>
      </c>
      <c r="H26" s="355">
        <v>4</v>
      </c>
      <c r="I26" s="356">
        <v>12</v>
      </c>
      <c r="J26" s="515">
        <f>Примерочная!$O$7*VLOOKUP(Таблица_шлемы[[#This Row],[название]],Таблица_моды_шлемы[],6,0)</f>
        <v>0</v>
      </c>
      <c r="K26" s="417">
        <v>0</v>
      </c>
      <c r="L26" s="515">
        <f>Примерочная!$M$7*VLOOKUP(Таблица_шлемы[[#This Row],[название]],Таблица_моды_шлемы[],9,0)+Примерочная!$N$7*VLOOKUP(Таблица_шлемы[[#This Row],[название]],Таблица_моды_шлемы[],10,0)</f>
        <v>0</v>
      </c>
      <c r="M26" s="417">
        <v>2</v>
      </c>
      <c r="N26" s="515">
        <f>Примерочная!$L$7*VLOOKUP(Таблица_шлемы[[#This Row],[название]],Таблица_моды_шлемы[],11,0)</f>
        <v>0</v>
      </c>
      <c r="O26" s="425">
        <v>0.01</v>
      </c>
      <c r="P26" s="423">
        <v>0</v>
      </c>
      <c r="Q26" s="514">
        <f>Примерочная!$L$7*VLOOKUP(Таблица_шлемы[[#This Row],[название]],Таблица_моды_шлемы[],12,0)</f>
        <v>0</v>
      </c>
      <c r="R26" s="172">
        <v>0</v>
      </c>
      <c r="S26" s="510">
        <f>Примерочная!$K$7*VLOOKUP(Таблица_шлемы[[#This Row],[название]],Таблица_моды_шлемы[],13,0)</f>
        <v>0</v>
      </c>
      <c r="T26" s="490">
        <v>0</v>
      </c>
      <c r="U26" s="506">
        <f>Примерочная!$K$7*VLOOKUP(Таблица_шлемы[[#This Row],[название]],Таблица_моды_шлемы[],14,0)</f>
        <v>0</v>
      </c>
      <c r="V26" s="485">
        <v>0</v>
      </c>
      <c r="W26" s="394"/>
      <c r="X26" s="394"/>
      <c r="Y26" s="394">
        <v>18</v>
      </c>
      <c r="Z26" s="424">
        <v>7</v>
      </c>
      <c r="AB26" s="993" t="s">
        <v>41</v>
      </c>
      <c r="AC26" s="986" t="s">
        <v>570</v>
      </c>
      <c r="AD26" s="988">
        <v>-0.15</v>
      </c>
      <c r="AE26" s="986" t="s">
        <v>569</v>
      </c>
      <c r="AF26" s="989">
        <v>-0.11</v>
      </c>
      <c r="AG26" s="986" t="s">
        <v>47</v>
      </c>
      <c r="AH26" s="988" t="s">
        <v>577</v>
      </c>
      <c r="AI26" s="986" t="s">
        <v>48</v>
      </c>
      <c r="AJ26" s="990">
        <v>-6</v>
      </c>
      <c r="AK26" s="986" t="s">
        <v>49</v>
      </c>
      <c r="AL26" s="990">
        <v>-20</v>
      </c>
      <c r="AM26" s="986" t="s">
        <v>50</v>
      </c>
      <c r="AN26" s="989" t="s">
        <v>592</v>
      </c>
      <c r="AO26" s="986" t="s">
        <v>564</v>
      </c>
      <c r="AP26" s="989">
        <v>0.25</v>
      </c>
      <c r="AQ26" s="986" t="s">
        <v>435</v>
      </c>
      <c r="AR26" s="1027" t="s">
        <v>593</v>
      </c>
      <c r="AS26" s="986"/>
      <c r="AT26" s="989"/>
      <c r="AU26" s="986"/>
      <c r="AV26" s="1027"/>
      <c r="AW26" s="1500"/>
      <c r="AX26" s="1514"/>
      <c r="AY26" s="1500"/>
      <c r="AZ26" s="1514"/>
      <c r="BA26" s="985"/>
      <c r="BB26" s="1516"/>
    </row>
    <row r="27" spans="1:61" ht="33" customHeight="1" x14ac:dyDescent="0.25">
      <c r="A27" s="394" t="s">
        <v>42</v>
      </c>
      <c r="B27" s="415"/>
      <c r="C27" s="416">
        <v>-5</v>
      </c>
      <c r="D27" s="515">
        <f>Примерочная!$N$7*VLOOKUP(Таблица_шлемы[[#This Row],[название]],Таблица_моды_шлемы[],4,0)+Примерочная!$M$7*VLOOKUP(Таблица_шлемы[[#This Row],[название]],Таблица_моды_шлемы[],5,0)</f>
        <v>0</v>
      </c>
      <c r="E27" s="417">
        <v>20</v>
      </c>
      <c r="F27" s="519">
        <f>Таблица_шлемы[[#This Row],[защита]]*(Примерочная!$J$7*VLOOKUP(Таблица_шлемы[[#This Row],[название]],Таблица_моды_шлемы[],2,0)+Примерочная!$O$7*VLOOKUP(Таблица_шлемы[[#This Row],[название]],Таблица_моды_шлемы[],3,0))</f>
        <v>0</v>
      </c>
      <c r="G27" s="378">
        <v>14</v>
      </c>
      <c r="H27" s="355">
        <v>4</v>
      </c>
      <c r="I27" s="356">
        <v>12</v>
      </c>
      <c r="J27" s="515">
        <f>Примерочная!$O$7*VLOOKUP(Таблица_шлемы[[#This Row],[название]],Таблица_моды_шлемы[],6,0)</f>
        <v>0</v>
      </c>
      <c r="K27" s="417">
        <v>0</v>
      </c>
      <c r="L27" s="515">
        <f>Примерочная!$M$7*VLOOKUP(Таблица_шлемы[[#This Row],[название]],Таблица_моды_шлемы[],9,0)+Примерочная!$N$7*VLOOKUP(Таблица_шлемы[[#This Row],[название]],Таблица_моды_шлемы[],10,0)</f>
        <v>0</v>
      </c>
      <c r="M27" s="417">
        <v>2</v>
      </c>
      <c r="N27" s="515">
        <f>Примерочная!$L$7*VLOOKUP(Таблица_шлемы[[#This Row],[название]],Таблица_моды_шлемы[],11,0)</f>
        <v>0</v>
      </c>
      <c r="O27" s="425">
        <v>0.02</v>
      </c>
      <c r="P27" s="423">
        <v>0</v>
      </c>
      <c r="Q27" s="514">
        <f>Примерочная!$L$7*VLOOKUP(Таблица_шлемы[[#This Row],[название]],Таблица_моды_шлемы[],12,0)</f>
        <v>0</v>
      </c>
      <c r="R27" s="172">
        <v>0</v>
      </c>
      <c r="S27" s="510">
        <f>Примерочная!$K$7*VLOOKUP(Таблица_шлемы[[#This Row],[название]],Таблица_моды_шлемы[],13,0)</f>
        <v>0</v>
      </c>
      <c r="T27" s="490">
        <v>0</v>
      </c>
      <c r="U27" s="506">
        <f>Примерочная!$K$7*VLOOKUP(Таблица_шлемы[[#This Row],[название]],Таблица_моды_шлемы[],14,0)</f>
        <v>0</v>
      </c>
      <c r="V27" s="485">
        <v>0</v>
      </c>
      <c r="W27" s="394"/>
      <c r="X27" s="394"/>
      <c r="Y27" s="394">
        <v>22</v>
      </c>
      <c r="Z27" s="424">
        <v>7</v>
      </c>
      <c r="AB27" s="993" t="s">
        <v>42</v>
      </c>
      <c r="AC27" s="986" t="s">
        <v>570</v>
      </c>
      <c r="AD27" s="988">
        <v>-0.15</v>
      </c>
      <c r="AE27" s="986" t="s">
        <v>569</v>
      </c>
      <c r="AF27" s="989" t="s">
        <v>584</v>
      </c>
      <c r="AG27" s="986" t="s">
        <v>47</v>
      </c>
      <c r="AH27" s="988" t="s">
        <v>578</v>
      </c>
      <c r="AI27" s="986" t="s">
        <v>48</v>
      </c>
      <c r="AJ27" s="990">
        <v>-6</v>
      </c>
      <c r="AK27" s="986" t="s">
        <v>49</v>
      </c>
      <c r="AL27" s="990">
        <v>-20</v>
      </c>
      <c r="AM27" s="986" t="s">
        <v>50</v>
      </c>
      <c r="AN27" s="989" t="s">
        <v>592</v>
      </c>
      <c r="AO27" s="986" t="s">
        <v>564</v>
      </c>
      <c r="AP27" s="989">
        <v>0.25</v>
      </c>
      <c r="AQ27" s="986" t="s">
        <v>435</v>
      </c>
      <c r="AR27" s="1027" t="s">
        <v>594</v>
      </c>
      <c r="AS27" s="986"/>
      <c r="AT27" s="989"/>
      <c r="AU27" s="986"/>
      <c r="AV27" s="1027"/>
      <c r="AW27" s="1500"/>
      <c r="AX27" s="1514"/>
      <c r="AY27" s="1500"/>
      <c r="AZ27" s="1514"/>
      <c r="BA27" s="985"/>
      <c r="BB27" s="1516"/>
    </row>
    <row r="28" spans="1:61" ht="33" customHeight="1" x14ac:dyDescent="0.25">
      <c r="A28" s="394" t="s">
        <v>43</v>
      </c>
      <c r="B28" s="415"/>
      <c r="C28" s="416">
        <v>-6</v>
      </c>
      <c r="D28" s="515">
        <f>Примерочная!$N$7*VLOOKUP(Таблица_шлемы[[#This Row],[название]],Таблица_моды_шлемы[],4,0)+Примерочная!$M$7*VLOOKUP(Таблица_шлемы[[#This Row],[название]],Таблица_моды_шлемы[],5,0)</f>
        <v>0</v>
      </c>
      <c r="E28" s="417">
        <v>25</v>
      </c>
      <c r="F28" s="519">
        <f>Таблица_шлемы[[#This Row],[защита]]*(Примерочная!$J$7*VLOOKUP(Таблица_шлемы[[#This Row],[название]],Таблица_моды_шлемы[],2,0)+Примерочная!$O$7*VLOOKUP(Таблица_шлемы[[#This Row],[название]],Таблица_моды_шлемы[],3,0))</f>
        <v>0</v>
      </c>
      <c r="G28" s="378">
        <v>14</v>
      </c>
      <c r="H28" s="355">
        <v>4</v>
      </c>
      <c r="I28" s="356">
        <v>12</v>
      </c>
      <c r="J28" s="515">
        <f>Примерочная!$O$7*VLOOKUP(Таблица_шлемы[[#This Row],[название]],Таблица_моды_шлемы[],6,0)</f>
        <v>0</v>
      </c>
      <c r="K28" s="417">
        <v>0</v>
      </c>
      <c r="L28" s="515">
        <f>Примерочная!$M$7*VLOOKUP(Таблица_шлемы[[#This Row],[название]],Таблица_моды_шлемы[],9,0)+Примерочная!$N$7*VLOOKUP(Таблица_шлемы[[#This Row],[название]],Таблица_моды_шлемы[],10,0)</f>
        <v>0</v>
      </c>
      <c r="M28" s="417">
        <v>2</v>
      </c>
      <c r="N28" s="515">
        <f>Примерочная!$L$7*VLOOKUP(Таблица_шлемы[[#This Row],[название]],Таблица_моды_шлемы[],11,0)</f>
        <v>0</v>
      </c>
      <c r="O28" s="425">
        <v>0.02</v>
      </c>
      <c r="P28" s="423">
        <v>0</v>
      </c>
      <c r="Q28" s="514">
        <f>Примерочная!$L$7*VLOOKUP(Таблица_шлемы[[#This Row],[название]],Таблица_моды_шлемы[],12,0)</f>
        <v>0</v>
      </c>
      <c r="R28" s="172">
        <v>0</v>
      </c>
      <c r="S28" s="510">
        <f>Примерочная!$K$7*VLOOKUP(Таблица_шлемы[[#This Row],[название]],Таблица_моды_шлемы[],13,0)</f>
        <v>0</v>
      </c>
      <c r="T28" s="490">
        <v>0</v>
      </c>
      <c r="U28" s="506">
        <f>Примерочная!$K$7*VLOOKUP(Таблица_шлемы[[#This Row],[название]],Таблица_моды_шлемы[],14,0)</f>
        <v>0</v>
      </c>
      <c r="V28" s="485">
        <v>0</v>
      </c>
      <c r="W28" s="394"/>
      <c r="X28" s="394"/>
      <c r="Y28" s="394">
        <v>27</v>
      </c>
      <c r="Z28" s="424">
        <v>7</v>
      </c>
      <c r="AB28" s="993" t="s">
        <v>43</v>
      </c>
      <c r="AC28" s="986" t="s">
        <v>570</v>
      </c>
      <c r="AD28" s="988">
        <v>-0.15</v>
      </c>
      <c r="AE28" s="986" t="s">
        <v>569</v>
      </c>
      <c r="AF28" s="989" t="s">
        <v>584</v>
      </c>
      <c r="AG28" s="986" t="s">
        <v>47</v>
      </c>
      <c r="AH28" s="988" t="s">
        <v>579</v>
      </c>
      <c r="AI28" s="986" t="s">
        <v>48</v>
      </c>
      <c r="AJ28" s="990">
        <v>-6</v>
      </c>
      <c r="AK28" s="986" t="s">
        <v>49</v>
      </c>
      <c r="AL28" s="990">
        <v>-20</v>
      </c>
      <c r="AM28" s="986" t="s">
        <v>50</v>
      </c>
      <c r="AN28" s="989" t="s">
        <v>592</v>
      </c>
      <c r="AO28" s="986" t="s">
        <v>564</v>
      </c>
      <c r="AP28" s="989">
        <v>0.25</v>
      </c>
      <c r="AQ28" s="986" t="s">
        <v>435</v>
      </c>
      <c r="AR28" s="1027" t="s">
        <v>595</v>
      </c>
      <c r="AS28" s="986"/>
      <c r="AT28" s="989"/>
      <c r="AU28" s="986"/>
      <c r="AV28" s="1027"/>
      <c r="AW28" s="1500"/>
      <c r="AX28" s="1514"/>
      <c r="AY28" s="1500"/>
      <c r="AZ28" s="1514"/>
      <c r="BA28" s="985"/>
      <c r="BB28" s="1516"/>
    </row>
    <row r="29" spans="1:61" ht="33" customHeight="1" thickBot="1" x14ac:dyDescent="0.3">
      <c r="A29" s="394" t="s">
        <v>44</v>
      </c>
      <c r="B29" s="415"/>
      <c r="C29" s="416">
        <v>-7</v>
      </c>
      <c r="D29" s="515">
        <f>Примерочная!$N$7*VLOOKUP(Таблица_шлемы[[#This Row],[название]],Таблица_моды_шлемы[],4,0)+Примерочная!$M$7*VLOOKUP(Таблица_шлемы[[#This Row],[название]],Таблица_моды_шлемы[],5,0)</f>
        <v>0</v>
      </c>
      <c r="E29" s="417">
        <v>32</v>
      </c>
      <c r="F29" s="519">
        <f>Таблица_шлемы[[#This Row],[защита]]*(Примерочная!$J$7*VLOOKUP(Таблица_шлемы[[#This Row],[название]],Таблица_моды_шлемы[],2,0)+Примерочная!$O$7*VLOOKUP(Таблица_шлемы[[#This Row],[название]],Таблица_моды_шлемы[],3,0))</f>
        <v>0</v>
      </c>
      <c r="G29" s="378">
        <v>14</v>
      </c>
      <c r="H29" s="355">
        <v>4</v>
      </c>
      <c r="I29" s="356">
        <v>12</v>
      </c>
      <c r="J29" s="515">
        <f>Примерочная!$O$7*VLOOKUP(Таблица_шлемы[[#This Row],[название]],Таблица_моды_шлемы[],6,0)</f>
        <v>0</v>
      </c>
      <c r="K29" s="417">
        <v>0</v>
      </c>
      <c r="L29" s="515">
        <f>Примерочная!$M$7*VLOOKUP(Таблица_шлемы[[#This Row],[название]],Таблица_моды_шлемы[],9,0)+Примерочная!$N$7*VLOOKUP(Таблица_шлемы[[#This Row],[название]],Таблица_моды_шлемы[],10,0)</f>
        <v>0</v>
      </c>
      <c r="M29" s="417">
        <v>2</v>
      </c>
      <c r="N29" s="515">
        <f>Примерочная!$L$7*VLOOKUP(Таблица_шлемы[[#This Row],[название]],Таблица_моды_шлемы[],11,0)</f>
        <v>0</v>
      </c>
      <c r="O29" s="425">
        <v>0.02</v>
      </c>
      <c r="P29" s="423">
        <v>0</v>
      </c>
      <c r="Q29" s="514">
        <f>Примерочная!$L$7*VLOOKUP(Таблица_шлемы[[#This Row],[название]],Таблица_моды_шлемы[],12,0)</f>
        <v>0</v>
      </c>
      <c r="R29" s="172">
        <v>0</v>
      </c>
      <c r="S29" s="510">
        <f>Примерочная!$K$7*VLOOKUP(Таблица_шлемы[[#This Row],[название]],Таблица_моды_шлемы[],13,0)</f>
        <v>0</v>
      </c>
      <c r="T29" s="490">
        <v>0</v>
      </c>
      <c r="U29" s="506">
        <f>Примерочная!$K$7*VLOOKUP(Таблица_шлемы[[#This Row],[название]],Таблица_моды_шлемы[],14,0)</f>
        <v>0</v>
      </c>
      <c r="V29" s="485">
        <v>0</v>
      </c>
      <c r="W29" s="394"/>
      <c r="X29" s="394"/>
      <c r="Y29" s="394">
        <v>35</v>
      </c>
      <c r="Z29" s="424">
        <v>7</v>
      </c>
      <c r="AA29" s="352"/>
      <c r="AB29" s="994" t="s">
        <v>44</v>
      </c>
      <c r="AC29" s="987" t="s">
        <v>570</v>
      </c>
      <c r="AD29" s="991">
        <v>-0.15</v>
      </c>
      <c r="AE29" s="987" t="s">
        <v>569</v>
      </c>
      <c r="AF29" s="992" t="s">
        <v>584</v>
      </c>
      <c r="AG29" s="987" t="s">
        <v>47</v>
      </c>
      <c r="AH29" s="991" t="s">
        <v>572</v>
      </c>
      <c r="AI29" s="987" t="s">
        <v>48</v>
      </c>
      <c r="AJ29" s="995">
        <v>-6</v>
      </c>
      <c r="AK29" s="987" t="s">
        <v>49</v>
      </c>
      <c r="AL29" s="995">
        <v>-20</v>
      </c>
      <c r="AM29" s="987" t="s">
        <v>50</v>
      </c>
      <c r="AN29" s="992" t="s">
        <v>592</v>
      </c>
      <c r="AO29" s="987" t="s">
        <v>564</v>
      </c>
      <c r="AP29" s="992">
        <v>0.25</v>
      </c>
      <c r="AQ29" s="987" t="s">
        <v>435</v>
      </c>
      <c r="AR29" s="1028" t="s">
        <v>596</v>
      </c>
      <c r="AS29" s="987"/>
      <c r="AT29" s="992"/>
      <c r="AU29" s="987"/>
      <c r="AV29" s="1028"/>
      <c r="AW29" s="1502"/>
      <c r="AX29" s="1519"/>
      <c r="AY29" s="1502"/>
      <c r="AZ29" s="1519"/>
      <c r="BA29" s="1503"/>
      <c r="BB29" s="1517"/>
    </row>
    <row r="30" spans="1:61" ht="33" customHeight="1" thickBot="1" x14ac:dyDescent="0.3">
      <c r="A30" s="422"/>
      <c r="B30" s="426"/>
      <c r="C30" s="422"/>
      <c r="D30" s="515"/>
      <c r="E30" s="417"/>
      <c r="F30" s="519"/>
      <c r="G30" s="378"/>
      <c r="H30" s="355"/>
      <c r="I30" s="356"/>
      <c r="J30" s="515"/>
      <c r="K30" s="417"/>
      <c r="L30" s="515"/>
      <c r="M30" s="417"/>
      <c r="N30" s="515"/>
      <c r="O30" s="425"/>
      <c r="P30" s="423"/>
      <c r="Q30" s="514"/>
      <c r="R30" s="172"/>
      <c r="S30" s="510"/>
      <c r="T30" s="490"/>
      <c r="U30" s="506"/>
      <c r="V30" s="485"/>
      <c r="W30" s="394"/>
      <c r="X30" s="394"/>
      <c r="Y30" s="394"/>
      <c r="Z30" s="428"/>
      <c r="AA30" s="352"/>
      <c r="AB30" s="1005"/>
      <c r="AC30" s="1006"/>
      <c r="AD30" s="1007"/>
      <c r="AE30" s="1006"/>
      <c r="AF30" s="1008"/>
      <c r="AG30" s="1006"/>
      <c r="AH30" s="1007"/>
      <c r="AI30" s="1006"/>
      <c r="AJ30" s="1009"/>
      <c r="AK30" s="1006"/>
      <c r="AL30" s="1009"/>
      <c r="AM30" s="1006"/>
      <c r="AN30" s="1008"/>
      <c r="AO30" s="1006"/>
      <c r="AP30" s="1008"/>
      <c r="AQ30" s="1006"/>
      <c r="AR30" s="1029"/>
      <c r="AS30" s="1006"/>
      <c r="AT30" s="1008"/>
      <c r="AU30" s="1006"/>
      <c r="AV30" s="1029"/>
      <c r="AW30" s="1506"/>
      <c r="AX30" s="1507"/>
      <c r="AY30" s="1506"/>
      <c r="AZ30" s="1507"/>
      <c r="BA30" s="1508"/>
      <c r="BB30" s="1507"/>
    </row>
    <row r="31" spans="1:61" s="435" customFormat="1" ht="33" customHeight="1" thickBot="1" x14ac:dyDescent="0.3">
      <c r="A31" s="402" t="s">
        <v>328</v>
      </c>
      <c r="B31" s="429"/>
      <c r="C31" s="430">
        <v>-10</v>
      </c>
      <c r="D31" s="517">
        <f>Примерочная!$N$7*VLOOKUP(Таблица_шлемы[[#This Row],[название]],Таблица_моды_шлемы[],4,0)+Примерочная!$M$7*VLOOKUP(Таблица_шлемы[[#This Row],[название]],Таблица_моды_шлемы[],5,0)</f>
        <v>0</v>
      </c>
      <c r="E31" s="431">
        <v>4</v>
      </c>
      <c r="F31" s="519">
        <f>Таблица_шлемы[[#This Row],[защита]]*(Примерочная!$J$7*VLOOKUP(Таблица_шлемы[[#This Row],[название]],Таблица_моды_шлемы[],2,0)+Примерочная!$O$7*VLOOKUP(Таблица_шлемы[[#This Row],[название]],Таблица_моды_шлемы[],3,0))</f>
        <v>0</v>
      </c>
      <c r="G31" s="379">
        <v>10</v>
      </c>
      <c r="H31" s="380">
        <v>10</v>
      </c>
      <c r="I31" s="381">
        <v>10</v>
      </c>
      <c r="J31" s="515">
        <f>Примерочная!$O$7*VLOOKUP(Таблица_шлемы[[#This Row],[название]],Таблица_моды_шлемы[],6,0)</f>
        <v>0</v>
      </c>
      <c r="K31" s="431">
        <f>2+(Примерочная!M7*28+Примерочная!N7*14)</f>
        <v>2</v>
      </c>
      <c r="L31" s="517">
        <f>Примерочная!$M$7*VLOOKUP(Таблица_шлемы[[#This Row],[название]],Таблица_моды_шлемы[],9,0)+Примерочная!$N$7*VLOOKUP(Таблица_шлемы[[#This Row],[название]],Таблица_моды_шлемы[],10,0)</f>
        <v>0</v>
      </c>
      <c r="M31" s="431">
        <f>2+(Примерочная!L7*45)</f>
        <v>2</v>
      </c>
      <c r="N31" s="515">
        <f>Примерочная!$L$7*VLOOKUP(Таблица_шлемы[[#This Row],[название]],Таблица_моды_шлемы[],11,0)</f>
        <v>0</v>
      </c>
      <c r="O31" s="432">
        <v>0.01</v>
      </c>
      <c r="P31" s="433">
        <v>0</v>
      </c>
      <c r="Q31" s="514">
        <f>Примерочная!$L$7*VLOOKUP(Таблица_шлемы[[#This Row],[название]],Таблица_моды_шлемы[],12,0)</f>
        <v>0</v>
      </c>
      <c r="R31" s="173">
        <v>0</v>
      </c>
      <c r="S31" s="511">
        <f>Примерочная!$K$7*VLOOKUP(Таблица_шлемы[[#This Row],[название]],Таблица_моды_шлемы[],13,0)</f>
        <v>0</v>
      </c>
      <c r="T31" s="491">
        <f>0+(1*Примерочная!K7)</f>
        <v>0</v>
      </c>
      <c r="U31" s="507">
        <f>Примерочная!$K$7*VLOOKUP(Таблица_шлемы[[#This Row],[название]],Таблица_моды_шлемы[],14,0)</f>
        <v>0</v>
      </c>
      <c r="V31" s="486">
        <v>2</v>
      </c>
      <c r="W31" s="402"/>
      <c r="X31" s="402"/>
      <c r="Y31" s="402"/>
      <c r="Z31" s="434"/>
      <c r="AA31" s="352"/>
      <c r="AB31" s="1002" t="s">
        <v>328</v>
      </c>
      <c r="AC31" s="1387" t="s">
        <v>31</v>
      </c>
      <c r="AD31" s="1388">
        <v>3</v>
      </c>
      <c r="AE31" s="1387" t="s">
        <v>53</v>
      </c>
      <c r="AF31" s="1389" t="s">
        <v>581</v>
      </c>
      <c r="AG31" s="1387" t="s">
        <v>565</v>
      </c>
      <c r="AH31" s="1390">
        <v>-2</v>
      </c>
      <c r="AI31" s="1387" t="s">
        <v>434</v>
      </c>
      <c r="AJ31" s="1391" t="s">
        <v>582</v>
      </c>
      <c r="AK31" s="1387" t="s">
        <v>566</v>
      </c>
      <c r="AL31" s="1392" t="s">
        <v>581</v>
      </c>
      <c r="AM31" s="1387" t="s">
        <v>567</v>
      </c>
      <c r="AN31" s="1391" t="s">
        <v>581</v>
      </c>
      <c r="AO31" s="1387" t="s">
        <v>568</v>
      </c>
      <c r="AP31" s="1391" t="s">
        <v>583</v>
      </c>
      <c r="AQ31" s="1387" t="s">
        <v>278</v>
      </c>
      <c r="AR31" s="1393" t="s">
        <v>325</v>
      </c>
      <c r="AS31" s="1387" t="s">
        <v>420</v>
      </c>
      <c r="AT31" s="1004" t="s">
        <v>574</v>
      </c>
      <c r="AU31" s="1003" t="s">
        <v>571</v>
      </c>
      <c r="AV31" s="1497" t="s">
        <v>579</v>
      </c>
      <c r="AW31" s="1504" t="s">
        <v>906</v>
      </c>
      <c r="AX31" s="1521">
        <v>0.21</v>
      </c>
      <c r="AY31" s="1504" t="s">
        <v>907</v>
      </c>
      <c r="AZ31" s="1521">
        <v>0.21</v>
      </c>
      <c r="BA31" s="1505" t="s">
        <v>905</v>
      </c>
      <c r="BB31" s="1522">
        <v>0.21</v>
      </c>
      <c r="BC31" s="9"/>
      <c r="BD31" s="9"/>
      <c r="BE31" s="9"/>
      <c r="BF31" s="9"/>
      <c r="BG31" s="9"/>
      <c r="BH31" s="9"/>
      <c r="BI31" s="9"/>
    </row>
    <row r="32" spans="1:61" ht="33" customHeight="1" thickBot="1" x14ac:dyDescent="0.3">
      <c r="A32" s="436"/>
      <c r="Y32" s="94"/>
      <c r="Z32" s="3"/>
      <c r="AB32" s="801"/>
      <c r="AC32" s="1015"/>
      <c r="AD32" s="1016"/>
      <c r="AE32" s="1015"/>
      <c r="AF32" s="1017"/>
      <c r="AG32" s="1015"/>
      <c r="AH32" s="1018"/>
      <c r="AI32" s="1015"/>
      <c r="AJ32" s="1019"/>
      <c r="AK32" s="1015"/>
      <c r="AL32" s="1020"/>
      <c r="AM32" s="1015"/>
      <c r="AN32" s="1019"/>
      <c r="AO32" s="1015"/>
      <c r="AP32" s="1019"/>
      <c r="AQ32" s="1015"/>
      <c r="AR32" s="1019"/>
      <c r="AS32" s="1015"/>
      <c r="AT32" s="1019"/>
      <c r="AU32" s="1015"/>
      <c r="AV32" s="1019"/>
    </row>
    <row r="33" spans="1:61" s="359" customFormat="1" ht="33" customHeight="1" x14ac:dyDescent="0.25">
      <c r="A33" s="407" t="s">
        <v>324</v>
      </c>
      <c r="B33" s="408" t="s">
        <v>599</v>
      </c>
      <c r="C33" s="409" t="s">
        <v>0</v>
      </c>
      <c r="D33" s="410" t="s">
        <v>337</v>
      </c>
      <c r="E33" s="409" t="s">
        <v>1</v>
      </c>
      <c r="F33" s="411" t="s">
        <v>344</v>
      </c>
      <c r="G33" s="373" t="s">
        <v>7</v>
      </c>
      <c r="H33" s="374" t="s">
        <v>8</v>
      </c>
      <c r="I33" s="375" t="s">
        <v>321</v>
      </c>
      <c r="J33" s="410" t="s">
        <v>343</v>
      </c>
      <c r="K33" s="407" t="s">
        <v>322</v>
      </c>
      <c r="L33" s="408" t="s">
        <v>347</v>
      </c>
      <c r="M33" s="409" t="s">
        <v>323</v>
      </c>
      <c r="N33" s="410" t="s">
        <v>348</v>
      </c>
      <c r="O33" s="412" t="s">
        <v>45</v>
      </c>
      <c r="P33" s="439" t="s">
        <v>330</v>
      </c>
      <c r="Q33" s="440" t="s">
        <v>600</v>
      </c>
      <c r="R33" s="523" t="s">
        <v>130</v>
      </c>
      <c r="S33" s="487" t="s">
        <v>603</v>
      </c>
      <c r="T33" s="526" t="s">
        <v>133</v>
      </c>
      <c r="U33" s="530" t="s">
        <v>604</v>
      </c>
      <c r="V33" s="524" t="s">
        <v>331</v>
      </c>
      <c r="W33" s="481" t="s">
        <v>501</v>
      </c>
      <c r="X33" s="481" t="s">
        <v>502</v>
      </c>
      <c r="Y33" s="481" t="s">
        <v>503</v>
      </c>
      <c r="Z33" s="481" t="s">
        <v>504</v>
      </c>
      <c r="AA33" s="435"/>
      <c r="AB33" s="801"/>
      <c r="AC33" s="1015"/>
      <c r="AD33" s="1016"/>
      <c r="AE33" s="1015"/>
      <c r="AF33" s="1017"/>
      <c r="AG33" s="1015"/>
      <c r="AH33" s="1018"/>
      <c r="AI33" s="1015"/>
      <c r="AJ33" s="1019"/>
      <c r="AK33" s="1015"/>
      <c r="AL33" s="1020"/>
      <c r="AM33" s="1015"/>
      <c r="AN33" s="1019"/>
      <c r="AO33" s="1015"/>
      <c r="AP33" s="1019"/>
      <c r="AQ33" s="1015"/>
      <c r="AR33" s="1019"/>
      <c r="AS33" s="1015"/>
      <c r="AT33" s="1019"/>
      <c r="AU33" s="1015"/>
      <c r="AV33" s="1019"/>
      <c r="AW33" s="435"/>
      <c r="AX33" s="435"/>
      <c r="AY33" s="435"/>
      <c r="AZ33" s="435"/>
      <c r="BA33" s="435"/>
      <c r="BB33" s="435"/>
      <c r="BC33" s="435"/>
      <c r="BD33" s="435"/>
      <c r="BE33" s="435"/>
      <c r="BF33" s="435"/>
      <c r="BG33" s="435"/>
      <c r="BH33" s="435"/>
      <c r="BI33" s="435"/>
    </row>
    <row r="34" spans="1:61" s="435" customFormat="1" ht="33" customHeight="1" thickBot="1" x14ac:dyDescent="0.3">
      <c r="A34" s="442" t="s">
        <v>562</v>
      </c>
      <c r="B34" s="554"/>
      <c r="C34" s="416">
        <v>0</v>
      </c>
      <c r="D34" s="515">
        <v>0</v>
      </c>
      <c r="E34" s="417">
        <v>0</v>
      </c>
      <c r="F34" s="519">
        <v>0</v>
      </c>
      <c r="G34" s="376">
        <v>0</v>
      </c>
      <c r="H34" s="366">
        <v>0</v>
      </c>
      <c r="I34" s="368">
        <v>0</v>
      </c>
      <c r="J34" s="515">
        <v>0</v>
      </c>
      <c r="K34" s="422">
        <v>0</v>
      </c>
      <c r="L34" s="536">
        <v>0</v>
      </c>
      <c r="M34" s="417">
        <v>0</v>
      </c>
      <c r="N34" s="515">
        <v>0</v>
      </c>
      <c r="O34" s="418">
        <v>0</v>
      </c>
      <c r="P34" s="443">
        <v>0</v>
      </c>
      <c r="Q34" s="508">
        <v>0</v>
      </c>
      <c r="R34" s="488">
        <v>0</v>
      </c>
      <c r="S34" s="534">
        <v>0</v>
      </c>
      <c r="T34" s="527">
        <v>0</v>
      </c>
      <c r="U34" s="531">
        <v>0</v>
      </c>
      <c r="V34" s="525">
        <v>0</v>
      </c>
      <c r="W34" s="401">
        <v>0</v>
      </c>
      <c r="X34" s="401">
        <v>0</v>
      </c>
      <c r="Y34" s="401">
        <v>0</v>
      </c>
      <c r="Z34" s="521">
        <v>0</v>
      </c>
      <c r="AA34" s="3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</row>
    <row r="35" spans="1:61" ht="33" customHeight="1" x14ac:dyDescent="0.25">
      <c r="A35" s="394" t="s">
        <v>9</v>
      </c>
      <c r="B35" s="445"/>
      <c r="C35" s="416">
        <v>-2</v>
      </c>
      <c r="D35" s="515">
        <f>Примерочная!$N$11*VLOOKUP(Таблица_куртки[[#This Row],[название]],Таблица_моды_куртки[],4,0)+Примерочная!$M$11*VLOOKUP(Таблица_куртки[[#This Row],[название]],Таблица_моды_куртки[],5,0)</f>
        <v>0</v>
      </c>
      <c r="E35" s="417">
        <v>6</v>
      </c>
      <c r="F35" s="519">
        <f>Таблица_куртки[[#This Row],[защита]]*(Примерочная!$J$11*VLOOKUP(Таблица_куртки[[#This Row],[название]],Таблица_моды_куртки[],2,0)+Примерочная!$O$11*VLOOKUP(Таблица_куртки[[#This Row],[название]],Таблица_моды_куртки[],3,0))</f>
        <v>0</v>
      </c>
      <c r="G35" s="378">
        <v>25</v>
      </c>
      <c r="H35" s="355">
        <v>25</v>
      </c>
      <c r="I35" s="356">
        <v>10</v>
      </c>
      <c r="J35" s="515">
        <f>Примерочная!$O$11*VLOOKUP(Таблица_куртки[[#This Row],[название]],Таблица_моды_куртки[],6,0)</f>
        <v>0</v>
      </c>
      <c r="K35" s="422">
        <v>5</v>
      </c>
      <c r="L35" s="536">
        <f>Примерочная!$M$11*VLOOKUP(Таблица_куртки[[#This Row],[название]],Таблица_моды_куртки[],9,0)+Примерочная!$N$11*VLOOKUP(Таблица_куртки[[#This Row],[название]],Таблица_моды_куртки[],10,0)</f>
        <v>0</v>
      </c>
      <c r="M35" s="417">
        <v>5</v>
      </c>
      <c r="N35" s="515">
        <f>Примерочная!$L$11*VLOOKUP(Таблица_куртки[[#This Row],[название]],Таблица_моды_куртки[],11,0)</f>
        <v>0</v>
      </c>
      <c r="O35" s="425">
        <v>0</v>
      </c>
      <c r="P35" s="443">
        <v>0</v>
      </c>
      <c r="Q35" s="510">
        <f>Примерочная!$L$11*VLOOKUP(Таблица_куртки[[#This Row],[название]],Таблица_моды_куртки[],12,0)</f>
        <v>0</v>
      </c>
      <c r="R35" s="172">
        <v>0</v>
      </c>
      <c r="S35" s="535">
        <f>Примерочная!$K$11*VLOOKUP(Таблица_куртки[[#This Row],[название]],Таблица_моды_куртки[],13,0)</f>
        <v>0</v>
      </c>
      <c r="T35" s="528">
        <v>0</v>
      </c>
      <c r="U35" s="532">
        <f>Примерочная!$K$11*VLOOKUP(Таблица_куртки[[#This Row],[название]],Таблица_моды_куртки[],14,0)</f>
        <v>0</v>
      </c>
      <c r="V35" s="422">
        <v>0</v>
      </c>
      <c r="W35" s="394">
        <v>1</v>
      </c>
      <c r="X35" s="394"/>
      <c r="Y35" s="394"/>
      <c r="Z35" s="424">
        <v>7</v>
      </c>
      <c r="AA35" s="441"/>
      <c r="AB35" s="435"/>
      <c r="AC35" s="435"/>
      <c r="AD35" s="435"/>
      <c r="AE35" s="435"/>
      <c r="AF35" s="435"/>
      <c r="AG35" s="435"/>
      <c r="AH35" s="435"/>
      <c r="AI35" s="435"/>
      <c r="AJ35" s="435"/>
      <c r="AK35" s="435"/>
      <c r="AL35" s="435"/>
      <c r="AM35" s="435"/>
      <c r="AN35" s="435"/>
      <c r="AO35" s="435"/>
      <c r="AP35" s="435"/>
      <c r="AQ35" s="435"/>
      <c r="AR35" s="435"/>
      <c r="AS35" s="435"/>
      <c r="AT35" s="435"/>
      <c r="AU35" s="435"/>
      <c r="AV35" s="435"/>
      <c r="AW35" s="359"/>
      <c r="AX35" s="359"/>
      <c r="AY35" s="359"/>
      <c r="AZ35" s="359"/>
      <c r="BA35" s="359"/>
      <c r="BB35" s="359"/>
      <c r="BC35" s="359"/>
      <c r="BD35" s="359"/>
      <c r="BE35" s="359"/>
      <c r="BF35" s="359"/>
      <c r="BG35" s="359"/>
      <c r="BH35" s="359"/>
      <c r="BI35" s="359"/>
    </row>
    <row r="36" spans="1:61" ht="33" customHeight="1" x14ac:dyDescent="0.25">
      <c r="A36" s="394" t="s">
        <v>13</v>
      </c>
      <c r="B36" s="415"/>
      <c r="C36" s="416">
        <v>-5</v>
      </c>
      <c r="D36" s="515">
        <f>Примерочная!$N$11*VLOOKUP(Таблица_куртки[[#This Row],[название]],Таблица_моды_куртки[],4,0)+Примерочная!$M$11*VLOOKUP(Таблица_куртки[[#This Row],[название]],Таблица_моды_куртки[],5,0)</f>
        <v>0</v>
      </c>
      <c r="E36" s="417">
        <v>11</v>
      </c>
      <c r="F36" s="519">
        <f>Таблица_куртки[[#This Row],[защита]]*(Примерочная!$J$11*VLOOKUP(Таблица_куртки[[#This Row],[название]],Таблица_моды_куртки[],2,0)+Примерочная!$O$11*VLOOKUP(Таблица_куртки[[#This Row],[название]],Таблица_моды_куртки[],3,0))</f>
        <v>0</v>
      </c>
      <c r="G36" s="378">
        <v>25</v>
      </c>
      <c r="H36" s="355">
        <v>25</v>
      </c>
      <c r="I36" s="356">
        <v>10</v>
      </c>
      <c r="J36" s="515">
        <f>Примерочная!$O$11*VLOOKUP(Таблица_куртки[[#This Row],[название]],Таблица_моды_куртки[],6,0)</f>
        <v>0</v>
      </c>
      <c r="K36" s="422">
        <v>5</v>
      </c>
      <c r="L36" s="536">
        <f>Примерочная!$M$11*VLOOKUP(Таблица_куртки[[#This Row],[название]],Таблица_моды_куртки[],9,0)+Примерочная!$N$11*VLOOKUP(Таблица_куртки[[#This Row],[название]],Таблица_моды_куртки[],10,0)</f>
        <v>0</v>
      </c>
      <c r="M36" s="417">
        <v>5</v>
      </c>
      <c r="N36" s="515">
        <f>Примерочная!$L$11*VLOOKUP(Таблица_куртки[[#This Row],[название]],Таблица_моды_куртки[],11,0)</f>
        <v>0</v>
      </c>
      <c r="O36" s="425">
        <v>0</v>
      </c>
      <c r="P36" s="443">
        <v>0</v>
      </c>
      <c r="Q36" s="510">
        <f>Примерочная!$L$11*VLOOKUP(Таблица_куртки[[#This Row],[название]],Таблица_моды_куртки[],12,0)</f>
        <v>0</v>
      </c>
      <c r="R36" s="172">
        <v>0</v>
      </c>
      <c r="S36" s="535">
        <f>Примерочная!$K$11*VLOOKUP(Таблица_куртки[[#This Row],[название]],Таблица_моды_куртки[],13,0)</f>
        <v>0</v>
      </c>
      <c r="T36" s="528">
        <v>0</v>
      </c>
      <c r="U36" s="532">
        <f>Примерочная!$K$11*VLOOKUP(Таблица_куртки[[#This Row],[название]],Таблица_моды_куртки[],14,0)</f>
        <v>0</v>
      </c>
      <c r="V36" s="422">
        <v>0</v>
      </c>
      <c r="W36" s="394">
        <v>5</v>
      </c>
      <c r="X36" s="394"/>
      <c r="Y36" s="394"/>
      <c r="Z36" s="424">
        <v>7</v>
      </c>
      <c r="AA36" s="444"/>
      <c r="AB36" s="3"/>
      <c r="AC36" s="3"/>
      <c r="AE36" s="3"/>
      <c r="AG36" s="3"/>
      <c r="AK36" s="352"/>
      <c r="AL36" s="3"/>
      <c r="AM36" s="352"/>
      <c r="AN36" s="352"/>
      <c r="AO36" s="352"/>
      <c r="AP36" s="352"/>
      <c r="AW36" s="435"/>
      <c r="AX36" s="435"/>
      <c r="AY36" s="435"/>
      <c r="AZ36" s="435"/>
      <c r="BA36" s="435"/>
      <c r="BB36" s="435"/>
      <c r="BC36" s="435"/>
      <c r="BD36" s="435"/>
      <c r="BE36" s="435"/>
      <c r="BF36" s="435"/>
      <c r="BG36" s="435"/>
      <c r="BH36" s="435"/>
      <c r="BI36" s="435"/>
    </row>
    <row r="37" spans="1:61" ht="33" customHeight="1" x14ac:dyDescent="0.25">
      <c r="A37" s="394" t="s">
        <v>14</v>
      </c>
      <c r="B37" s="415"/>
      <c r="C37" s="416">
        <v>-7</v>
      </c>
      <c r="D37" s="515">
        <f>Примерочная!$N$11*VLOOKUP(Таблица_куртки[[#This Row],[название]],Таблица_моды_куртки[],4,0)+Примерочная!$M$11*VLOOKUP(Таблица_куртки[[#This Row],[название]],Таблица_моды_куртки[],5,0)</f>
        <v>0</v>
      </c>
      <c r="E37" s="417">
        <v>15</v>
      </c>
      <c r="F37" s="519">
        <f>Таблица_куртки[[#This Row],[защита]]*(Примерочная!$J$11*VLOOKUP(Таблица_куртки[[#This Row],[название]],Таблица_моды_куртки[],2,0)+Примерочная!$O$11*VLOOKUP(Таблица_куртки[[#This Row],[название]],Таблица_моды_куртки[],3,0))</f>
        <v>0</v>
      </c>
      <c r="G37" s="378">
        <v>25</v>
      </c>
      <c r="H37" s="355">
        <v>25</v>
      </c>
      <c r="I37" s="356">
        <v>10</v>
      </c>
      <c r="J37" s="515">
        <f>Примерочная!$O$11*VLOOKUP(Таблица_куртки[[#This Row],[название]],Таблица_моды_куртки[],6,0)</f>
        <v>0</v>
      </c>
      <c r="K37" s="422">
        <v>5</v>
      </c>
      <c r="L37" s="536">
        <f>Примерочная!$M$11*VLOOKUP(Таблица_куртки[[#This Row],[название]],Таблица_моды_куртки[],9,0)+Примерочная!$N$11*VLOOKUP(Таблица_куртки[[#This Row],[название]],Таблица_моды_куртки[],10,0)</f>
        <v>0</v>
      </c>
      <c r="M37" s="417">
        <v>5</v>
      </c>
      <c r="N37" s="515">
        <f>Примерочная!$L$11*VLOOKUP(Таблица_куртки[[#This Row],[название]],Таблица_моды_куртки[],11,0)</f>
        <v>0</v>
      </c>
      <c r="O37" s="425">
        <v>0</v>
      </c>
      <c r="P37" s="443">
        <v>0</v>
      </c>
      <c r="Q37" s="510">
        <f>Примерочная!$L$11*VLOOKUP(Таблица_куртки[[#This Row],[название]],Таблица_моды_куртки[],12,0)</f>
        <v>0</v>
      </c>
      <c r="R37" s="172">
        <v>0</v>
      </c>
      <c r="S37" s="535">
        <f>Примерочная!$K$11*VLOOKUP(Таблица_куртки[[#This Row],[название]],Таблица_моды_куртки[],13,0)</f>
        <v>0</v>
      </c>
      <c r="T37" s="528">
        <v>0</v>
      </c>
      <c r="U37" s="532">
        <f>Примерочная!$K$11*VLOOKUP(Таблица_куртки[[#This Row],[название]],Таблица_моды_куртки[],14,0)</f>
        <v>0</v>
      </c>
      <c r="V37" s="422">
        <v>0</v>
      </c>
      <c r="W37" s="394">
        <v>10</v>
      </c>
      <c r="X37" s="394"/>
      <c r="Y37" s="394"/>
      <c r="Z37" s="424">
        <v>7</v>
      </c>
      <c r="AA37" s="3"/>
      <c r="AB37" s="441"/>
      <c r="AC37" s="441"/>
      <c r="AD37" s="359"/>
      <c r="AE37" s="441"/>
      <c r="AF37" s="359"/>
      <c r="AG37" s="441"/>
      <c r="AH37" s="359"/>
      <c r="AI37" s="359"/>
      <c r="AJ37" s="359"/>
      <c r="AK37" s="359"/>
      <c r="AL37" s="441"/>
      <c r="AM37" s="359"/>
      <c r="AN37" s="359"/>
      <c r="AO37" s="359"/>
      <c r="AP37" s="359"/>
      <c r="AQ37" s="359"/>
      <c r="AR37" s="359"/>
      <c r="AS37" s="359"/>
      <c r="AT37" s="359"/>
      <c r="AU37" s="359"/>
      <c r="AV37" s="359"/>
    </row>
    <row r="38" spans="1:61" ht="33" customHeight="1" x14ac:dyDescent="0.25">
      <c r="A38" s="394" t="s">
        <v>15</v>
      </c>
      <c r="B38" s="415"/>
      <c r="C38" s="416">
        <v>-10</v>
      </c>
      <c r="D38" s="515">
        <f>Примерочная!$N$11*VLOOKUP(Таблица_куртки[[#This Row],[название]],Таблица_моды_куртки[],4,0)+Примерочная!$M$11*VLOOKUP(Таблица_куртки[[#This Row],[название]],Таблица_моды_куртки[],5,0)</f>
        <v>0</v>
      </c>
      <c r="E38" s="417">
        <v>19</v>
      </c>
      <c r="F38" s="519">
        <f>Таблица_куртки[[#This Row],[защита]]*(Примерочная!$J$11*VLOOKUP(Таблица_куртки[[#This Row],[название]],Таблица_моды_куртки[],2,0)+Примерочная!$O$11*VLOOKUP(Таблица_куртки[[#This Row],[название]],Таблица_моды_куртки[],3,0))</f>
        <v>0</v>
      </c>
      <c r="G38" s="378">
        <v>25</v>
      </c>
      <c r="H38" s="355">
        <v>25</v>
      </c>
      <c r="I38" s="356">
        <v>10</v>
      </c>
      <c r="J38" s="515">
        <f>Примерочная!$O$11*VLOOKUP(Таблица_куртки[[#This Row],[название]],Таблица_моды_куртки[],6,0)</f>
        <v>0</v>
      </c>
      <c r="K38" s="422">
        <v>5</v>
      </c>
      <c r="L38" s="536">
        <f>Примерочная!$M$11*VLOOKUP(Таблица_куртки[[#This Row],[название]],Таблица_моды_куртки[],9,0)+Примерочная!$N$11*VLOOKUP(Таблица_куртки[[#This Row],[название]],Таблица_моды_куртки[],10,0)</f>
        <v>0</v>
      </c>
      <c r="M38" s="417">
        <v>5</v>
      </c>
      <c r="N38" s="515">
        <f>Примерочная!$L$11*VLOOKUP(Таблица_куртки[[#This Row],[название]],Таблица_моды_куртки[],11,0)</f>
        <v>0</v>
      </c>
      <c r="O38" s="425">
        <v>0</v>
      </c>
      <c r="P38" s="443">
        <v>0</v>
      </c>
      <c r="Q38" s="510">
        <f>Примерочная!$L$11*VLOOKUP(Таблица_куртки[[#This Row],[название]],Таблица_моды_куртки[],12,0)</f>
        <v>0</v>
      </c>
      <c r="R38" s="172">
        <v>0</v>
      </c>
      <c r="S38" s="535">
        <f>Примерочная!$K$11*VLOOKUP(Таблица_куртки[[#This Row],[название]],Таблица_моды_куртки[],13,0)</f>
        <v>0</v>
      </c>
      <c r="T38" s="528">
        <v>0</v>
      </c>
      <c r="U38" s="532">
        <f>Примерочная!$K$11*VLOOKUP(Таблица_куртки[[#This Row],[название]],Таблица_моды_куртки[],14,0)</f>
        <v>0</v>
      </c>
      <c r="V38" s="422">
        <v>0</v>
      </c>
      <c r="W38" s="394">
        <v>14</v>
      </c>
      <c r="X38" s="394"/>
      <c r="Y38" s="394"/>
      <c r="Z38" s="424">
        <v>7</v>
      </c>
      <c r="AA38" s="3"/>
      <c r="AB38" s="444"/>
      <c r="AC38" s="444"/>
      <c r="AD38" s="435"/>
      <c r="AE38" s="444"/>
      <c r="AF38" s="435"/>
      <c r="AG38" s="444"/>
      <c r="AH38" s="435"/>
      <c r="AI38" s="435"/>
      <c r="AJ38" s="435"/>
      <c r="AK38" s="435"/>
      <c r="AL38" s="444"/>
      <c r="AM38" s="435"/>
      <c r="AN38" s="435"/>
      <c r="AO38" s="435"/>
      <c r="AP38" s="435"/>
      <c r="AQ38" s="435"/>
      <c r="AR38" s="435"/>
      <c r="AS38" s="435"/>
      <c r="AT38" s="435"/>
      <c r="AU38" s="435"/>
      <c r="AV38" s="435"/>
    </row>
    <row r="39" spans="1:61" ht="33" customHeight="1" x14ac:dyDescent="0.25">
      <c r="A39" s="394" t="s">
        <v>16</v>
      </c>
      <c r="B39" s="415"/>
      <c r="C39" s="416">
        <v>-12</v>
      </c>
      <c r="D39" s="515">
        <f>Примерочная!$N$11*VLOOKUP(Таблица_куртки[[#This Row],[название]],Таблица_моды_куртки[],4,0)+Примерочная!$M$11*VLOOKUP(Таблица_куртки[[#This Row],[название]],Таблица_моды_куртки[],5,0)</f>
        <v>0</v>
      </c>
      <c r="E39" s="417">
        <v>25</v>
      </c>
      <c r="F39" s="519">
        <f>Таблица_куртки[[#This Row],[защита]]*(Примерочная!$J$11*VLOOKUP(Таблица_куртки[[#This Row],[название]],Таблица_моды_куртки[],2,0)+Примерочная!$O$11*VLOOKUP(Таблица_куртки[[#This Row],[название]],Таблица_моды_куртки[],3,0))</f>
        <v>0</v>
      </c>
      <c r="G39" s="378">
        <v>25</v>
      </c>
      <c r="H39" s="355">
        <v>25</v>
      </c>
      <c r="I39" s="356">
        <v>10</v>
      </c>
      <c r="J39" s="515">
        <f>Примерочная!$O$11*VLOOKUP(Таблица_куртки[[#This Row],[название]],Таблица_моды_куртки[],6,0)</f>
        <v>0</v>
      </c>
      <c r="K39" s="422">
        <v>5</v>
      </c>
      <c r="L39" s="536">
        <f>Примерочная!$M$11*VLOOKUP(Таблица_куртки[[#This Row],[название]],Таблица_моды_куртки[],9,0)+Примерочная!$N$11*VLOOKUP(Таблица_куртки[[#This Row],[название]],Таблица_моды_куртки[],10,0)</f>
        <v>0</v>
      </c>
      <c r="M39" s="417">
        <v>5</v>
      </c>
      <c r="N39" s="515">
        <f>Примерочная!$L$11*VLOOKUP(Таблица_куртки[[#This Row],[название]],Таблица_моды_куртки[],11,0)</f>
        <v>0</v>
      </c>
      <c r="O39" s="425">
        <v>0</v>
      </c>
      <c r="P39" s="443">
        <v>0</v>
      </c>
      <c r="Q39" s="510">
        <f>Примерочная!$L$11*VLOOKUP(Таблица_куртки[[#This Row],[название]],Таблица_моды_куртки[],12,0)</f>
        <v>0</v>
      </c>
      <c r="R39" s="172">
        <v>0</v>
      </c>
      <c r="S39" s="535">
        <f>Примерочная!$K$11*VLOOKUP(Таблица_куртки[[#This Row],[название]],Таблица_моды_куртки[],13,0)</f>
        <v>0</v>
      </c>
      <c r="T39" s="528">
        <v>0</v>
      </c>
      <c r="U39" s="532">
        <f>Примерочная!$K$11*VLOOKUP(Таблица_куртки[[#This Row],[название]],Таблица_моды_куртки[],14,0)</f>
        <v>0</v>
      </c>
      <c r="V39" s="422">
        <v>0</v>
      </c>
      <c r="W39" s="394">
        <v>18</v>
      </c>
      <c r="X39" s="394"/>
      <c r="Y39" s="394"/>
      <c r="Z39" s="424">
        <v>7</v>
      </c>
      <c r="AA39" s="3"/>
      <c r="AB39" s="3"/>
      <c r="AC39" s="3"/>
      <c r="AE39" s="3"/>
      <c r="AG39" s="3"/>
      <c r="AL39" s="3"/>
    </row>
    <row r="40" spans="1:61" ht="33" customHeight="1" x14ac:dyDescent="0.25">
      <c r="A40" s="394" t="s">
        <v>17</v>
      </c>
      <c r="B40" s="415"/>
      <c r="C40" s="416">
        <v>-15</v>
      </c>
      <c r="D40" s="515">
        <f>Примерочная!$N$11*VLOOKUP(Таблица_куртки[[#This Row],[название]],Таблица_моды_куртки[],4,0)+Примерочная!$M$11*VLOOKUP(Таблица_куртки[[#This Row],[название]],Таблица_моды_куртки[],5,0)</f>
        <v>0</v>
      </c>
      <c r="E40" s="417">
        <v>32</v>
      </c>
      <c r="F40" s="519">
        <f>Таблица_куртки[[#This Row],[защита]]*(Примерочная!$J$11*VLOOKUP(Таблица_куртки[[#This Row],[название]],Таблица_моды_куртки[],2,0)+Примерочная!$O$11*VLOOKUP(Таблица_куртки[[#This Row],[название]],Таблица_моды_куртки[],3,0))</f>
        <v>0</v>
      </c>
      <c r="G40" s="378">
        <v>25</v>
      </c>
      <c r="H40" s="355">
        <v>25</v>
      </c>
      <c r="I40" s="356">
        <v>10</v>
      </c>
      <c r="J40" s="515">
        <f>Примерочная!$O$11*VLOOKUP(Таблица_куртки[[#This Row],[название]],Таблица_моды_куртки[],6,0)</f>
        <v>0</v>
      </c>
      <c r="K40" s="422">
        <v>5</v>
      </c>
      <c r="L40" s="536">
        <f>Примерочная!$M$11*VLOOKUP(Таблица_куртки[[#This Row],[название]],Таблица_моды_куртки[],9,0)+Примерочная!$N$11*VLOOKUP(Таблица_куртки[[#This Row],[название]],Таблица_моды_куртки[],10,0)</f>
        <v>0</v>
      </c>
      <c r="M40" s="417">
        <v>5</v>
      </c>
      <c r="N40" s="515">
        <f>Примерочная!$L$11*VLOOKUP(Таблица_куртки[[#This Row],[название]],Таблица_моды_куртки[],11,0)</f>
        <v>0</v>
      </c>
      <c r="O40" s="425">
        <v>0</v>
      </c>
      <c r="P40" s="443">
        <v>0</v>
      </c>
      <c r="Q40" s="510">
        <f>Примерочная!$L$11*VLOOKUP(Таблица_куртки[[#This Row],[название]],Таблица_моды_куртки[],12,0)</f>
        <v>0</v>
      </c>
      <c r="R40" s="172">
        <v>0</v>
      </c>
      <c r="S40" s="535">
        <f>Примерочная!$K$11*VLOOKUP(Таблица_куртки[[#This Row],[название]],Таблица_моды_куртки[],13,0)</f>
        <v>0</v>
      </c>
      <c r="T40" s="528">
        <v>0</v>
      </c>
      <c r="U40" s="532">
        <f>Примерочная!$K$11*VLOOKUP(Таблица_куртки[[#This Row],[название]],Таблица_моды_куртки[],14,0)</f>
        <v>0</v>
      </c>
      <c r="V40" s="422">
        <v>0</v>
      </c>
      <c r="W40" s="394">
        <v>22</v>
      </c>
      <c r="X40" s="394"/>
      <c r="Y40" s="394"/>
      <c r="Z40" s="424">
        <v>7</v>
      </c>
      <c r="AA40" s="3"/>
      <c r="AB40" s="3"/>
      <c r="AC40" s="3"/>
      <c r="AE40" s="3"/>
      <c r="AG40" s="3"/>
      <c r="AL40" s="3"/>
    </row>
    <row r="41" spans="1:61" ht="33" customHeight="1" x14ac:dyDescent="0.25">
      <c r="A41" s="394" t="s">
        <v>18</v>
      </c>
      <c r="B41" s="415"/>
      <c r="C41" s="416">
        <v>-17</v>
      </c>
      <c r="D41" s="515">
        <f>Примерочная!$N$11*VLOOKUP(Таблица_куртки[[#This Row],[название]],Таблица_моды_куртки[],4,0)+Примерочная!$M$11*VLOOKUP(Таблица_куртки[[#This Row],[название]],Таблица_моды_куртки[],5,0)</f>
        <v>0</v>
      </c>
      <c r="E41" s="417">
        <v>37</v>
      </c>
      <c r="F41" s="519">
        <f>Таблица_куртки[[#This Row],[защита]]*(Примерочная!$J$11*VLOOKUP(Таблица_куртки[[#This Row],[название]],Таблица_моды_куртки[],2,0)+Примерочная!$O$11*VLOOKUP(Таблица_куртки[[#This Row],[название]],Таблица_моды_куртки[],3,0))</f>
        <v>0</v>
      </c>
      <c r="G41" s="378">
        <v>25</v>
      </c>
      <c r="H41" s="355">
        <v>25</v>
      </c>
      <c r="I41" s="356">
        <v>10</v>
      </c>
      <c r="J41" s="515">
        <f>Примерочная!$O$11*VLOOKUP(Таблица_куртки[[#This Row],[название]],Таблица_моды_куртки[],6,0)</f>
        <v>0</v>
      </c>
      <c r="K41" s="422">
        <v>5</v>
      </c>
      <c r="L41" s="536">
        <f>Примерочная!$M$11*VLOOKUP(Таблица_куртки[[#This Row],[название]],Таблица_моды_куртки[],9,0)+Примерочная!$N$11*VLOOKUP(Таблица_куртки[[#This Row],[название]],Таблица_моды_куртки[],10,0)</f>
        <v>0</v>
      </c>
      <c r="M41" s="417">
        <v>5</v>
      </c>
      <c r="N41" s="515">
        <f>Примерочная!$L$11*VLOOKUP(Таблица_куртки[[#This Row],[название]],Таблица_моды_куртки[],11,0)</f>
        <v>0</v>
      </c>
      <c r="O41" s="425">
        <v>0</v>
      </c>
      <c r="P41" s="443">
        <v>0</v>
      </c>
      <c r="Q41" s="510">
        <f>Примерочная!$L$11*VLOOKUP(Таблица_куртки[[#This Row],[название]],Таблица_моды_куртки[],12,0)</f>
        <v>0</v>
      </c>
      <c r="R41" s="172">
        <v>0</v>
      </c>
      <c r="S41" s="535">
        <f>Примерочная!$K$11*VLOOKUP(Таблица_куртки[[#This Row],[название]],Таблица_моды_куртки[],13,0)</f>
        <v>0</v>
      </c>
      <c r="T41" s="528">
        <v>0</v>
      </c>
      <c r="U41" s="532">
        <f>Примерочная!$K$11*VLOOKUP(Таблица_куртки[[#This Row],[название]],Таблица_моды_куртки[],14,0)</f>
        <v>0</v>
      </c>
      <c r="V41" s="422">
        <v>0</v>
      </c>
      <c r="W41" s="394">
        <v>27</v>
      </c>
      <c r="X41" s="394"/>
      <c r="Y41" s="394"/>
      <c r="Z41" s="424">
        <v>7</v>
      </c>
      <c r="AA41" s="3"/>
      <c r="AB41" s="3"/>
      <c r="AC41" s="3"/>
      <c r="AE41" s="3"/>
      <c r="AG41" s="3"/>
    </row>
    <row r="42" spans="1:61" ht="33" customHeight="1" x14ac:dyDescent="0.25">
      <c r="A42" s="394" t="s">
        <v>19</v>
      </c>
      <c r="B42" s="415"/>
      <c r="C42" s="416">
        <v>-20</v>
      </c>
      <c r="D42" s="515">
        <f>Примерочная!$N$11*VLOOKUP(Таблица_куртки[[#This Row],[название]],Таблица_моды_куртки[],4,0)+Примерочная!$M$11*VLOOKUP(Таблица_куртки[[#This Row],[название]],Таблица_моды_куртки[],5,0)</f>
        <v>0</v>
      </c>
      <c r="E42" s="417">
        <v>44</v>
      </c>
      <c r="F42" s="519">
        <f>Таблица_куртки[[#This Row],[защита]]*(Примерочная!$J$11*VLOOKUP(Таблица_куртки[[#This Row],[название]],Таблица_моды_куртки[],2,0)+Примерочная!$O$11*VLOOKUP(Таблица_куртки[[#This Row],[название]],Таблица_моды_куртки[],3,0))</f>
        <v>0</v>
      </c>
      <c r="G42" s="378">
        <v>25</v>
      </c>
      <c r="H42" s="355">
        <v>25</v>
      </c>
      <c r="I42" s="356">
        <v>10</v>
      </c>
      <c r="J42" s="515">
        <f>Примерочная!$O$11*VLOOKUP(Таблица_куртки[[#This Row],[название]],Таблица_моды_куртки[],6,0)</f>
        <v>0</v>
      </c>
      <c r="K42" s="422">
        <v>5</v>
      </c>
      <c r="L42" s="536">
        <f>Примерочная!$M$11*VLOOKUP(Таблица_куртки[[#This Row],[название]],Таблица_моды_куртки[],9,0)+Примерочная!$N$11*VLOOKUP(Таблица_куртки[[#This Row],[название]],Таблица_моды_куртки[],10,0)</f>
        <v>0</v>
      </c>
      <c r="M42" s="417">
        <v>5</v>
      </c>
      <c r="N42" s="515">
        <f>Примерочная!$L$11*VLOOKUP(Таблица_куртки[[#This Row],[название]],Таблица_моды_куртки[],11,0)</f>
        <v>0</v>
      </c>
      <c r="O42" s="425">
        <v>0</v>
      </c>
      <c r="P42" s="443">
        <v>0</v>
      </c>
      <c r="Q42" s="510">
        <f>Примерочная!$L$11*VLOOKUP(Таблица_куртки[[#This Row],[название]],Таблица_моды_куртки[],12,0)</f>
        <v>0</v>
      </c>
      <c r="R42" s="172">
        <v>0</v>
      </c>
      <c r="S42" s="535">
        <f>Примерочная!$K$11*VLOOKUP(Таблица_куртки[[#This Row],[название]],Таблица_моды_куртки[],13,0)</f>
        <v>0</v>
      </c>
      <c r="T42" s="528">
        <v>0</v>
      </c>
      <c r="U42" s="532">
        <f>Примерочная!$K$11*VLOOKUP(Таблица_куртки[[#This Row],[название]],Таблица_моды_куртки[],14,0)</f>
        <v>0</v>
      </c>
      <c r="V42" s="422">
        <v>0</v>
      </c>
      <c r="W42" s="394">
        <v>35</v>
      </c>
      <c r="X42" s="394"/>
      <c r="Y42" s="394"/>
      <c r="Z42" s="424">
        <v>7</v>
      </c>
      <c r="AA42" s="3"/>
      <c r="AB42" s="3"/>
      <c r="AC42" s="3"/>
      <c r="AE42" s="3"/>
      <c r="AG42" s="3"/>
      <c r="AK42" s="3"/>
      <c r="AL42" s="3"/>
    </row>
    <row r="43" spans="1:61" ht="33" customHeight="1" x14ac:dyDescent="0.25">
      <c r="A43" s="394"/>
      <c r="B43" s="424"/>
      <c r="C43" s="417"/>
      <c r="D43" s="515"/>
      <c r="E43" s="417"/>
      <c r="F43" s="519"/>
      <c r="G43" s="378"/>
      <c r="H43" s="355"/>
      <c r="I43" s="356"/>
      <c r="J43" s="515"/>
      <c r="K43" s="422"/>
      <c r="L43" s="536"/>
      <c r="M43" s="417"/>
      <c r="N43" s="515"/>
      <c r="O43" s="425"/>
      <c r="P43" s="443"/>
      <c r="Q43" s="510"/>
      <c r="R43" s="172"/>
      <c r="S43" s="535"/>
      <c r="T43" s="528"/>
      <c r="U43" s="532"/>
      <c r="V43" s="422"/>
      <c r="W43" s="394"/>
      <c r="X43" s="394"/>
      <c r="Y43" s="394"/>
      <c r="Z43" s="424"/>
      <c r="AA43" s="3"/>
      <c r="AB43" s="3"/>
      <c r="AC43" s="3"/>
      <c r="AE43" s="3"/>
      <c r="AG43" s="3"/>
      <c r="AK43" s="3"/>
      <c r="AL43" s="3"/>
    </row>
    <row r="44" spans="1:61" ht="33" customHeight="1" x14ac:dyDescent="0.25">
      <c r="A44" s="394" t="s">
        <v>21</v>
      </c>
      <c r="B44" s="415"/>
      <c r="C44" s="416">
        <v>5</v>
      </c>
      <c r="D44" s="515">
        <f>Примерочная!$N$11*VLOOKUP(Таблица_куртки[[#This Row],[название]],Таблица_моды_куртки[],4,0)+Примерочная!$M$11*VLOOKUP(Таблица_куртки[[#This Row],[название]],Таблица_моды_куртки[],5,0)</f>
        <v>0</v>
      </c>
      <c r="E44" s="417">
        <v>4</v>
      </c>
      <c r="F44" s="519">
        <f>Таблица_куртки[[#This Row],[защита]]*(Примерочная!$J$11*VLOOKUP(Таблица_куртки[[#This Row],[название]],Таблица_моды_куртки[],2,0)+Примерочная!$O$11*VLOOKUP(Таблица_куртки[[#This Row],[название]],Таблица_моды_куртки[],3,0))</f>
        <v>0</v>
      </c>
      <c r="G44" s="378">
        <v>10</v>
      </c>
      <c r="H44" s="355">
        <v>20</v>
      </c>
      <c r="I44" s="356">
        <v>20</v>
      </c>
      <c r="J44" s="515">
        <f>Примерочная!$O$11*VLOOKUP(Таблица_куртки[[#This Row],[название]],Таблица_моды_куртки[],6,0)</f>
        <v>0</v>
      </c>
      <c r="K44" s="422">
        <v>12</v>
      </c>
      <c r="L44" s="536">
        <f>Примерочная!$M$11*VLOOKUP(Таблица_куртки[[#This Row],[название]],Таблица_моды_куртки[],9,0)+Примерочная!$N$11*VLOOKUP(Таблица_куртки[[#This Row],[название]],Таблица_моды_куртки[],10,0)</f>
        <v>0</v>
      </c>
      <c r="M44" s="417">
        <v>0</v>
      </c>
      <c r="N44" s="515">
        <f>Примерочная!$L$11*VLOOKUP(Таблица_куртки[[#This Row],[название]],Таблица_моды_куртки[],11,0)</f>
        <v>0</v>
      </c>
      <c r="O44" s="425">
        <v>0</v>
      </c>
      <c r="P44" s="443">
        <v>0</v>
      </c>
      <c r="Q44" s="510">
        <f>Примерочная!$L$11*VLOOKUP(Таблица_куртки[[#This Row],[название]],Таблица_моды_куртки[],12,0)</f>
        <v>0</v>
      </c>
      <c r="R44" s="172">
        <v>0</v>
      </c>
      <c r="S44" s="535">
        <f>Примерочная!$K$11*VLOOKUP(Таблица_куртки[[#This Row],[название]],Таблица_моды_куртки[],13,0)</f>
        <v>0</v>
      </c>
      <c r="T44" s="528">
        <v>0</v>
      </c>
      <c r="U44" s="532">
        <f>Примерочная!$K$11*VLOOKUP(Таблица_куртки[[#This Row],[название]],Таблица_моды_куртки[],14,0)</f>
        <v>0</v>
      </c>
      <c r="V44" s="422">
        <v>0</v>
      </c>
      <c r="W44" s="394"/>
      <c r="X44" s="394">
        <v>1</v>
      </c>
      <c r="Y44" s="394"/>
      <c r="Z44" s="424">
        <v>7</v>
      </c>
      <c r="AA44" s="3"/>
      <c r="AB44" s="3"/>
      <c r="AC44" s="3"/>
      <c r="AE44" s="3"/>
      <c r="AG44" s="3"/>
      <c r="AK44" s="3"/>
      <c r="AL44" s="3"/>
    </row>
    <row r="45" spans="1:61" ht="33" customHeight="1" x14ac:dyDescent="0.25">
      <c r="A45" s="394" t="s">
        <v>22</v>
      </c>
      <c r="B45" s="415"/>
      <c r="C45" s="416">
        <v>4</v>
      </c>
      <c r="D45" s="515">
        <f>Примерочная!$N$11*VLOOKUP(Таблица_куртки[[#This Row],[название]],Таблица_моды_куртки[],4,0)+Примерочная!$M$11*VLOOKUP(Таблица_куртки[[#This Row],[название]],Таблица_моды_куртки[],5,0)</f>
        <v>0</v>
      </c>
      <c r="E45" s="417">
        <v>7</v>
      </c>
      <c r="F45" s="519">
        <f>Таблица_куртки[[#This Row],[защита]]*(Примерочная!$J$11*VLOOKUP(Таблица_куртки[[#This Row],[название]],Таблица_моды_куртки[],2,0)+Примерочная!$O$11*VLOOKUP(Таблица_куртки[[#This Row],[название]],Таблица_моды_куртки[],3,0))</f>
        <v>0</v>
      </c>
      <c r="G45" s="378">
        <v>10</v>
      </c>
      <c r="H45" s="355">
        <v>20</v>
      </c>
      <c r="I45" s="356">
        <v>20</v>
      </c>
      <c r="J45" s="515">
        <f>Примерочная!$O$11*VLOOKUP(Таблица_куртки[[#This Row],[название]],Таблица_моды_куртки[],6,0)</f>
        <v>0</v>
      </c>
      <c r="K45" s="422">
        <v>12</v>
      </c>
      <c r="L45" s="536">
        <f>Примерочная!$M$11*VLOOKUP(Таблица_куртки[[#This Row],[название]],Таблица_моды_куртки[],9,0)+Примерочная!$N$11*VLOOKUP(Таблица_куртки[[#This Row],[название]],Таблица_моды_куртки[],10,0)</f>
        <v>0</v>
      </c>
      <c r="M45" s="417">
        <v>0</v>
      </c>
      <c r="N45" s="515">
        <f>Примерочная!$L$11*VLOOKUP(Таблица_куртки[[#This Row],[название]],Таблица_моды_куртки[],11,0)</f>
        <v>0</v>
      </c>
      <c r="O45" s="425">
        <v>0</v>
      </c>
      <c r="P45" s="443">
        <v>0</v>
      </c>
      <c r="Q45" s="510">
        <f>Примерочная!$L$11*VLOOKUP(Таблица_куртки[[#This Row],[название]],Таблица_моды_куртки[],12,0)</f>
        <v>0</v>
      </c>
      <c r="R45" s="172">
        <v>0</v>
      </c>
      <c r="S45" s="535">
        <f>Примерочная!$K$11*VLOOKUP(Таблица_куртки[[#This Row],[название]],Таблица_моды_куртки[],13,0)</f>
        <v>0</v>
      </c>
      <c r="T45" s="528">
        <v>0</v>
      </c>
      <c r="U45" s="532">
        <f>Примерочная!$K$11*VLOOKUP(Таблица_куртки[[#This Row],[название]],Таблица_моды_куртки[],14,0)</f>
        <v>0</v>
      </c>
      <c r="V45" s="422">
        <v>0</v>
      </c>
      <c r="W45" s="394"/>
      <c r="X45" s="394">
        <v>5</v>
      </c>
      <c r="Y45" s="394"/>
      <c r="Z45" s="424">
        <v>7</v>
      </c>
      <c r="AA45" s="3"/>
      <c r="AB45" s="3"/>
      <c r="AC45" s="3"/>
      <c r="AE45" s="3"/>
      <c r="AG45" s="3"/>
      <c r="AK45" s="3"/>
      <c r="AL45" s="3"/>
    </row>
    <row r="46" spans="1:61" ht="33" customHeight="1" x14ac:dyDescent="0.25">
      <c r="A46" s="394" t="s">
        <v>23</v>
      </c>
      <c r="B46" s="415"/>
      <c r="C46" s="416">
        <v>3</v>
      </c>
      <c r="D46" s="515">
        <f>Примерочная!$N$11*VLOOKUP(Таблица_куртки[[#This Row],[название]],Таблица_моды_куртки[],4,0)+Примерочная!$M$11*VLOOKUP(Таблица_куртки[[#This Row],[название]],Таблица_моды_куртки[],5,0)</f>
        <v>0</v>
      </c>
      <c r="E46" s="417">
        <v>11</v>
      </c>
      <c r="F46" s="519">
        <f>Таблица_куртки[[#This Row],[защита]]*(Примерочная!$J$11*VLOOKUP(Таблица_куртки[[#This Row],[название]],Таблица_моды_куртки[],2,0)+Примерочная!$O$11*VLOOKUP(Таблица_куртки[[#This Row],[название]],Таблица_моды_куртки[],3,0))</f>
        <v>0</v>
      </c>
      <c r="G46" s="378">
        <v>10</v>
      </c>
      <c r="H46" s="355">
        <v>20</v>
      </c>
      <c r="I46" s="356">
        <v>20</v>
      </c>
      <c r="J46" s="515">
        <f>Примерочная!$O$11*VLOOKUP(Таблица_куртки[[#This Row],[название]],Таблица_моды_куртки[],6,0)</f>
        <v>0</v>
      </c>
      <c r="K46" s="422">
        <v>12</v>
      </c>
      <c r="L46" s="536">
        <f>Примерочная!$M$11*VLOOKUP(Таблица_куртки[[#This Row],[название]],Таблица_моды_куртки[],9,0)+Примерочная!$N$11*VLOOKUP(Таблица_куртки[[#This Row],[название]],Таблица_моды_куртки[],10,0)</f>
        <v>0</v>
      </c>
      <c r="M46" s="417">
        <v>0</v>
      </c>
      <c r="N46" s="515">
        <f>Примерочная!$L$11*VLOOKUP(Таблица_куртки[[#This Row],[название]],Таблица_моды_куртки[],11,0)</f>
        <v>0</v>
      </c>
      <c r="O46" s="425">
        <v>0</v>
      </c>
      <c r="P46" s="443">
        <v>0</v>
      </c>
      <c r="Q46" s="510">
        <f>Примерочная!$L$11*VLOOKUP(Таблица_куртки[[#This Row],[название]],Таблица_моды_куртки[],12,0)</f>
        <v>0</v>
      </c>
      <c r="R46" s="172">
        <v>0</v>
      </c>
      <c r="S46" s="535">
        <f>Примерочная!$K$11*VLOOKUP(Таблица_куртки[[#This Row],[название]],Таблица_моды_куртки[],13,0)</f>
        <v>0</v>
      </c>
      <c r="T46" s="528">
        <v>0</v>
      </c>
      <c r="U46" s="532">
        <f>Примерочная!$K$11*VLOOKUP(Таблица_куртки[[#This Row],[название]],Таблица_моды_куртки[],14,0)</f>
        <v>0</v>
      </c>
      <c r="V46" s="422">
        <v>0</v>
      </c>
      <c r="W46" s="394"/>
      <c r="X46" s="394">
        <v>10</v>
      </c>
      <c r="Y46" s="394"/>
      <c r="Z46" s="424">
        <v>7</v>
      </c>
      <c r="AA46" s="3"/>
      <c r="AB46" s="3"/>
      <c r="AC46" s="3"/>
      <c r="AE46" s="3"/>
      <c r="AG46" s="3"/>
      <c r="AK46" s="3"/>
      <c r="AL46" s="3"/>
    </row>
    <row r="47" spans="1:61" ht="33" customHeight="1" x14ac:dyDescent="0.25">
      <c r="A47" s="394" t="s">
        <v>24</v>
      </c>
      <c r="B47" s="415"/>
      <c r="C47" s="416">
        <v>2</v>
      </c>
      <c r="D47" s="515">
        <f>Примерочная!$N$11*VLOOKUP(Таблица_куртки[[#This Row],[название]],Таблица_моды_куртки[],4,0)+Примерочная!$M$11*VLOOKUP(Таблица_куртки[[#This Row],[название]],Таблица_моды_куртки[],5,0)</f>
        <v>0</v>
      </c>
      <c r="E47" s="417">
        <v>16</v>
      </c>
      <c r="F47" s="519">
        <f>Таблица_куртки[[#This Row],[защита]]*(Примерочная!$J$11*VLOOKUP(Таблица_куртки[[#This Row],[название]],Таблица_моды_куртки[],2,0)+Примерочная!$O$11*VLOOKUP(Таблица_куртки[[#This Row],[название]],Таблица_моды_куртки[],3,0))</f>
        <v>0</v>
      </c>
      <c r="G47" s="378">
        <v>10</v>
      </c>
      <c r="H47" s="355">
        <v>20</v>
      </c>
      <c r="I47" s="356">
        <v>20</v>
      </c>
      <c r="J47" s="515">
        <f>Примерочная!$O$11*VLOOKUP(Таблица_куртки[[#This Row],[название]],Таблица_моды_куртки[],6,0)</f>
        <v>0</v>
      </c>
      <c r="K47" s="422">
        <v>12</v>
      </c>
      <c r="L47" s="536">
        <f>Примерочная!$M$11*VLOOKUP(Таблица_куртки[[#This Row],[название]],Таблица_моды_куртки[],9,0)+Примерочная!$N$11*VLOOKUP(Таблица_куртки[[#This Row],[название]],Таблица_моды_куртки[],10,0)</f>
        <v>0</v>
      </c>
      <c r="M47" s="417">
        <v>0</v>
      </c>
      <c r="N47" s="515">
        <f>Примерочная!$L$11*VLOOKUP(Таблица_куртки[[#This Row],[название]],Таблица_моды_куртки[],11,0)</f>
        <v>0</v>
      </c>
      <c r="O47" s="425">
        <v>0</v>
      </c>
      <c r="P47" s="443">
        <v>0</v>
      </c>
      <c r="Q47" s="510">
        <f>Примерочная!$L$11*VLOOKUP(Таблица_куртки[[#This Row],[название]],Таблица_моды_куртки[],12,0)</f>
        <v>0</v>
      </c>
      <c r="R47" s="172">
        <v>0</v>
      </c>
      <c r="S47" s="535">
        <f>Примерочная!$K$11*VLOOKUP(Таблица_куртки[[#This Row],[название]],Таблица_моды_куртки[],13,0)</f>
        <v>0</v>
      </c>
      <c r="T47" s="528">
        <v>0</v>
      </c>
      <c r="U47" s="532">
        <f>Примерочная!$K$11*VLOOKUP(Таблица_куртки[[#This Row],[название]],Таблица_моды_куртки[],14,0)</f>
        <v>0</v>
      </c>
      <c r="V47" s="422">
        <v>0</v>
      </c>
      <c r="W47" s="394"/>
      <c r="X47" s="394">
        <v>14</v>
      </c>
      <c r="Y47" s="394"/>
      <c r="Z47" s="424">
        <v>7</v>
      </c>
      <c r="AA47" s="3"/>
      <c r="AB47" s="3"/>
      <c r="AC47" s="3"/>
      <c r="AE47" s="3"/>
      <c r="AG47" s="3"/>
    </row>
    <row r="48" spans="1:61" ht="33" customHeight="1" x14ac:dyDescent="0.25">
      <c r="A48" s="394" t="s">
        <v>25</v>
      </c>
      <c r="B48" s="415"/>
      <c r="C48" s="416">
        <v>1</v>
      </c>
      <c r="D48" s="515">
        <f>Примерочная!$N$11*VLOOKUP(Таблица_куртки[[#This Row],[название]],Таблица_моды_куртки[],4,0)+Примерочная!$M$11*VLOOKUP(Таблица_куртки[[#This Row],[название]],Таблица_моды_куртки[],5,0)</f>
        <v>0</v>
      </c>
      <c r="E48" s="417">
        <v>21</v>
      </c>
      <c r="F48" s="519">
        <f>Таблица_куртки[[#This Row],[защита]]*(Примерочная!$J$11*VLOOKUP(Таблица_куртки[[#This Row],[название]],Таблица_моды_куртки[],2,0)+Примерочная!$O$11*VLOOKUP(Таблица_куртки[[#This Row],[название]],Таблица_моды_куртки[],3,0))</f>
        <v>0</v>
      </c>
      <c r="G48" s="378">
        <v>10</v>
      </c>
      <c r="H48" s="355">
        <v>20</v>
      </c>
      <c r="I48" s="356">
        <v>20</v>
      </c>
      <c r="J48" s="515">
        <f>Примерочная!$O$11*VLOOKUP(Таблица_куртки[[#This Row],[название]],Таблица_моды_куртки[],6,0)</f>
        <v>0</v>
      </c>
      <c r="K48" s="422">
        <v>12</v>
      </c>
      <c r="L48" s="536">
        <f>Примерочная!$M$11*VLOOKUP(Таблица_куртки[[#This Row],[название]],Таблица_моды_куртки[],9,0)+Примерочная!$N$11*VLOOKUP(Таблица_куртки[[#This Row],[название]],Таблица_моды_куртки[],10,0)</f>
        <v>0</v>
      </c>
      <c r="M48" s="417">
        <v>0</v>
      </c>
      <c r="N48" s="515">
        <f>Примерочная!$L$11*VLOOKUP(Таблица_куртки[[#This Row],[название]],Таблица_моды_куртки[],11,0)</f>
        <v>0</v>
      </c>
      <c r="O48" s="425">
        <v>0</v>
      </c>
      <c r="P48" s="443">
        <v>0</v>
      </c>
      <c r="Q48" s="510">
        <f>Примерочная!$L$11*VLOOKUP(Таблица_куртки[[#This Row],[название]],Таблица_моды_куртки[],12,0)</f>
        <v>0</v>
      </c>
      <c r="R48" s="172">
        <v>0</v>
      </c>
      <c r="S48" s="535">
        <f>Примерочная!$K$11*VLOOKUP(Таблица_куртки[[#This Row],[название]],Таблица_моды_куртки[],13,0)</f>
        <v>0</v>
      </c>
      <c r="T48" s="528">
        <v>0</v>
      </c>
      <c r="U48" s="532">
        <f>Примерочная!$K$11*VLOOKUP(Таблица_куртки[[#This Row],[название]],Таблица_моды_куртки[],14,0)</f>
        <v>0</v>
      </c>
      <c r="V48" s="422">
        <v>0</v>
      </c>
      <c r="W48" s="394"/>
      <c r="X48" s="394">
        <v>18</v>
      </c>
      <c r="Y48" s="394"/>
      <c r="Z48" s="424">
        <v>7</v>
      </c>
      <c r="AA48" s="3"/>
      <c r="AB48" s="3"/>
      <c r="AC48" s="3"/>
      <c r="AE48" s="3"/>
      <c r="AG48" s="3"/>
      <c r="AL48" s="3"/>
    </row>
    <row r="49" spans="1:61" ht="33" customHeight="1" x14ac:dyDescent="0.25">
      <c r="A49" s="394" t="s">
        <v>26</v>
      </c>
      <c r="B49" s="415"/>
      <c r="C49" s="416">
        <v>0</v>
      </c>
      <c r="D49" s="515">
        <f>Примерочная!$N$11*VLOOKUP(Таблица_куртки[[#This Row],[название]],Таблица_моды_куртки[],4,0)+Примерочная!$M$11*VLOOKUP(Таблица_куртки[[#This Row],[название]],Таблица_моды_куртки[],5,0)</f>
        <v>0</v>
      </c>
      <c r="E49" s="417">
        <v>28</v>
      </c>
      <c r="F49" s="519">
        <f>Таблица_куртки[[#This Row],[защита]]*(Примерочная!$J$11*VLOOKUP(Таблица_куртки[[#This Row],[название]],Таблица_моды_куртки[],2,0)+Примерочная!$O$11*VLOOKUP(Таблица_куртки[[#This Row],[название]],Таблица_моды_куртки[],3,0))</f>
        <v>0</v>
      </c>
      <c r="G49" s="378">
        <v>10</v>
      </c>
      <c r="H49" s="355">
        <v>20</v>
      </c>
      <c r="I49" s="356">
        <v>20</v>
      </c>
      <c r="J49" s="515">
        <f>Примерочная!$O$11*VLOOKUP(Таблица_куртки[[#This Row],[название]],Таблица_моды_куртки[],6,0)</f>
        <v>0</v>
      </c>
      <c r="K49" s="422">
        <v>12</v>
      </c>
      <c r="L49" s="536">
        <f>Примерочная!$M$11*VLOOKUP(Таблица_куртки[[#This Row],[название]],Таблица_моды_куртки[],9,0)+Примерочная!$N$11*VLOOKUP(Таблица_куртки[[#This Row],[название]],Таблица_моды_куртки[],10,0)</f>
        <v>0</v>
      </c>
      <c r="M49" s="417">
        <v>0</v>
      </c>
      <c r="N49" s="515">
        <f>Примерочная!$L$11*VLOOKUP(Таблица_куртки[[#This Row],[название]],Таблица_моды_куртки[],11,0)</f>
        <v>0</v>
      </c>
      <c r="O49" s="425">
        <v>0</v>
      </c>
      <c r="P49" s="443">
        <v>0</v>
      </c>
      <c r="Q49" s="510">
        <f>Примерочная!$L$11*VLOOKUP(Таблица_куртки[[#This Row],[название]],Таблица_моды_куртки[],12,0)</f>
        <v>0</v>
      </c>
      <c r="R49" s="172">
        <v>0</v>
      </c>
      <c r="S49" s="535">
        <f>Примерочная!$K$11*VLOOKUP(Таблица_куртки[[#This Row],[название]],Таблица_моды_куртки[],13,0)</f>
        <v>0</v>
      </c>
      <c r="T49" s="528">
        <v>0</v>
      </c>
      <c r="U49" s="532">
        <f>Примерочная!$K$11*VLOOKUP(Таблица_куртки[[#This Row],[название]],Таблица_моды_куртки[],14,0)</f>
        <v>0</v>
      </c>
      <c r="V49" s="422">
        <v>0</v>
      </c>
      <c r="W49" s="394"/>
      <c r="X49" s="394">
        <v>22</v>
      </c>
      <c r="Y49" s="394"/>
      <c r="Z49" s="424">
        <v>7</v>
      </c>
      <c r="AA49" s="3"/>
      <c r="AB49" s="3"/>
      <c r="AC49" s="3"/>
      <c r="AE49" s="3"/>
      <c r="AG49" s="3"/>
      <c r="AL49" s="3"/>
    </row>
    <row r="50" spans="1:61" ht="33" customHeight="1" x14ac:dyDescent="0.25">
      <c r="A50" s="394" t="s">
        <v>27</v>
      </c>
      <c r="B50" s="415"/>
      <c r="C50" s="416">
        <v>-1</v>
      </c>
      <c r="D50" s="515">
        <f>Примерочная!$N$11*VLOOKUP(Таблица_куртки[[#This Row],[название]],Таблица_моды_куртки[],4,0)+Примерочная!$M$11*VLOOKUP(Таблица_куртки[[#This Row],[название]],Таблица_моды_куртки[],5,0)</f>
        <v>0</v>
      </c>
      <c r="E50" s="417">
        <v>31</v>
      </c>
      <c r="F50" s="519">
        <f>Таблица_куртки[[#This Row],[защита]]*(Примерочная!$J$11*VLOOKUP(Таблица_куртки[[#This Row],[название]],Таблица_моды_куртки[],2,0)+Примерочная!$O$11*VLOOKUP(Таблица_куртки[[#This Row],[название]],Таблица_моды_куртки[],3,0))</f>
        <v>0</v>
      </c>
      <c r="G50" s="378">
        <v>10</v>
      </c>
      <c r="H50" s="355">
        <v>20</v>
      </c>
      <c r="I50" s="356">
        <v>20</v>
      </c>
      <c r="J50" s="515">
        <f>Примерочная!$O$11*VLOOKUP(Таблица_куртки[[#This Row],[название]],Таблица_моды_куртки[],6,0)</f>
        <v>0</v>
      </c>
      <c r="K50" s="422">
        <v>12</v>
      </c>
      <c r="L50" s="536">
        <f>Примерочная!$M$11*VLOOKUP(Таблица_куртки[[#This Row],[название]],Таблица_моды_куртки[],9,0)+Примерочная!$N$11*VLOOKUP(Таблица_куртки[[#This Row],[название]],Таблица_моды_куртки[],10,0)</f>
        <v>0</v>
      </c>
      <c r="M50" s="417">
        <v>0</v>
      </c>
      <c r="N50" s="515">
        <f>Примерочная!$L$11*VLOOKUP(Таблица_куртки[[#This Row],[название]],Таблица_моды_куртки[],11,0)</f>
        <v>0</v>
      </c>
      <c r="O50" s="425">
        <v>0</v>
      </c>
      <c r="P50" s="443">
        <v>0</v>
      </c>
      <c r="Q50" s="510">
        <f>Примерочная!$L$11*VLOOKUP(Таблица_куртки[[#This Row],[название]],Таблица_моды_куртки[],12,0)</f>
        <v>0</v>
      </c>
      <c r="R50" s="172">
        <v>0</v>
      </c>
      <c r="S50" s="535">
        <f>Примерочная!$K$11*VLOOKUP(Таблица_куртки[[#This Row],[название]],Таблица_моды_куртки[],13,0)</f>
        <v>0</v>
      </c>
      <c r="T50" s="528">
        <v>0</v>
      </c>
      <c r="U50" s="532">
        <f>Примерочная!$K$11*VLOOKUP(Таблица_куртки[[#This Row],[название]],Таблица_моды_куртки[],14,0)</f>
        <v>0</v>
      </c>
      <c r="V50" s="422">
        <v>0</v>
      </c>
      <c r="W50" s="394"/>
      <c r="X50" s="394">
        <v>27</v>
      </c>
      <c r="Y50" s="394"/>
      <c r="Z50" s="424">
        <v>7</v>
      </c>
      <c r="AA50" s="3"/>
      <c r="AB50" s="3"/>
      <c r="AC50" s="3"/>
      <c r="AE50" s="3"/>
      <c r="AG50" s="3"/>
      <c r="AL50" s="3"/>
    </row>
    <row r="51" spans="1:61" ht="33" customHeight="1" x14ac:dyDescent="0.25">
      <c r="A51" s="394" t="s">
        <v>28</v>
      </c>
      <c r="B51" s="415"/>
      <c r="C51" s="416">
        <v>-2</v>
      </c>
      <c r="D51" s="515">
        <f>Примерочная!$N$11*VLOOKUP(Таблица_куртки[[#This Row],[название]],Таблица_моды_куртки[],4,0)+Примерочная!$M$11*VLOOKUP(Таблица_куртки[[#This Row],[название]],Таблица_моды_куртки[],5,0)</f>
        <v>0</v>
      </c>
      <c r="E51" s="417">
        <v>35</v>
      </c>
      <c r="F51" s="519">
        <f>Таблица_куртки[[#This Row],[защита]]*(Примерочная!$J$11*VLOOKUP(Таблица_куртки[[#This Row],[название]],Таблица_моды_куртки[],2,0)+Примерочная!$O$11*VLOOKUP(Таблица_куртки[[#This Row],[название]],Таблица_моды_куртки[],3,0))</f>
        <v>0</v>
      </c>
      <c r="G51" s="378">
        <v>10</v>
      </c>
      <c r="H51" s="355">
        <v>20</v>
      </c>
      <c r="I51" s="356">
        <v>20</v>
      </c>
      <c r="J51" s="515">
        <f>Примерочная!$O$11*VLOOKUP(Таблица_куртки[[#This Row],[название]],Таблица_моды_куртки[],6,0)</f>
        <v>0</v>
      </c>
      <c r="K51" s="422">
        <v>12</v>
      </c>
      <c r="L51" s="536">
        <f>Примерочная!$M$11*VLOOKUP(Таблица_куртки[[#This Row],[название]],Таблица_моды_куртки[],9,0)+Примерочная!$N$11*VLOOKUP(Таблица_куртки[[#This Row],[название]],Таблица_моды_куртки[],10,0)</f>
        <v>0</v>
      </c>
      <c r="M51" s="417">
        <v>0</v>
      </c>
      <c r="N51" s="515">
        <f>Примерочная!$L$11*VLOOKUP(Таблица_куртки[[#This Row],[название]],Таблица_моды_куртки[],11,0)</f>
        <v>0</v>
      </c>
      <c r="O51" s="425">
        <v>0</v>
      </c>
      <c r="P51" s="443">
        <v>0</v>
      </c>
      <c r="Q51" s="510">
        <f>Примерочная!$L$11*VLOOKUP(Таблица_куртки[[#This Row],[название]],Таблица_моды_куртки[],12,0)</f>
        <v>0</v>
      </c>
      <c r="R51" s="172">
        <v>0</v>
      </c>
      <c r="S51" s="535">
        <f>Примерочная!$K$11*VLOOKUP(Таблица_куртки[[#This Row],[название]],Таблица_моды_куртки[],13,0)</f>
        <v>0</v>
      </c>
      <c r="T51" s="528">
        <v>0</v>
      </c>
      <c r="U51" s="532">
        <f>Примерочная!$K$11*VLOOKUP(Таблица_куртки[[#This Row],[название]],Таблица_моды_куртки[],14,0)</f>
        <v>0</v>
      </c>
      <c r="V51" s="422">
        <v>0</v>
      </c>
      <c r="W51" s="394"/>
      <c r="X51" s="394">
        <v>35</v>
      </c>
      <c r="Y51" s="394"/>
      <c r="Z51" s="424">
        <v>7</v>
      </c>
      <c r="AA51" s="3"/>
      <c r="AB51" s="3"/>
      <c r="AC51" s="3"/>
      <c r="AE51" s="3"/>
      <c r="AG51" s="3"/>
      <c r="AL51" s="3"/>
    </row>
    <row r="52" spans="1:61" ht="33" customHeight="1" x14ac:dyDescent="0.25">
      <c r="A52" s="394"/>
      <c r="B52" s="424"/>
      <c r="C52" s="417"/>
      <c r="D52" s="515"/>
      <c r="E52" s="417"/>
      <c r="F52" s="519"/>
      <c r="G52" s="378"/>
      <c r="H52" s="355"/>
      <c r="I52" s="356"/>
      <c r="J52" s="515"/>
      <c r="K52" s="422"/>
      <c r="L52" s="536"/>
      <c r="M52" s="417"/>
      <c r="N52" s="515"/>
      <c r="O52" s="425"/>
      <c r="P52" s="443"/>
      <c r="Q52" s="510"/>
      <c r="R52" s="172"/>
      <c r="S52" s="535"/>
      <c r="T52" s="528"/>
      <c r="U52" s="532"/>
      <c r="V52" s="422"/>
      <c r="W52" s="394"/>
      <c r="X52" s="394"/>
      <c r="Y52" s="394"/>
      <c r="Z52" s="424"/>
      <c r="AA52" s="3"/>
      <c r="AB52" s="3"/>
      <c r="AC52" s="3"/>
      <c r="AE52" s="3"/>
      <c r="AG52" s="3"/>
      <c r="AL52" s="3"/>
    </row>
    <row r="53" spans="1:61" ht="33" customHeight="1" x14ac:dyDescent="0.25">
      <c r="A53" s="394" t="s">
        <v>37</v>
      </c>
      <c r="B53" s="415"/>
      <c r="C53" s="416">
        <v>-5</v>
      </c>
      <c r="D53" s="515">
        <f>Примерочная!$N$11*VLOOKUP(Таблица_куртки[[#This Row],[название]],Таблица_моды_куртки[],4,0)+Примерочная!$M$11*VLOOKUP(Таблица_куртки[[#This Row],[название]],Таблица_моды_куртки[],5,0)</f>
        <v>0</v>
      </c>
      <c r="E53" s="417">
        <v>11</v>
      </c>
      <c r="F53" s="519">
        <f>Таблица_куртки[[#This Row],[защита]]*(Примерочная!$J$11*VLOOKUP(Таблица_куртки[[#This Row],[название]],Таблица_моды_куртки[],2,0)+Примерочная!$O$11*VLOOKUP(Таблица_куртки[[#This Row],[название]],Таблица_моды_куртки[],3,0))</f>
        <v>0</v>
      </c>
      <c r="G53" s="378">
        <v>35</v>
      </c>
      <c r="H53" s="355">
        <v>10</v>
      </c>
      <c r="I53" s="356">
        <v>30</v>
      </c>
      <c r="J53" s="515">
        <f>Примерочная!$O$11*VLOOKUP(Таблица_куртки[[#This Row],[название]],Таблица_моды_куртки[],6,0)</f>
        <v>0</v>
      </c>
      <c r="K53" s="422">
        <v>0</v>
      </c>
      <c r="L53" s="536">
        <f>Примерочная!$M$11*VLOOKUP(Таблица_куртки[[#This Row],[название]],Таблица_моды_куртки[],9,0)+Примерочная!$N$11*VLOOKUP(Таблица_куртки[[#This Row],[название]],Таблица_моды_куртки[],10,0)</f>
        <v>0</v>
      </c>
      <c r="M53" s="417">
        <v>8</v>
      </c>
      <c r="N53" s="515">
        <f>Примерочная!$L$11*VLOOKUP(Таблица_куртки[[#This Row],[название]],Таблица_моды_куртки[],11,0)</f>
        <v>0</v>
      </c>
      <c r="O53" s="425">
        <v>0.05</v>
      </c>
      <c r="P53" s="443">
        <v>0</v>
      </c>
      <c r="Q53" s="510">
        <f>Примерочная!$L$11*VLOOKUP(Таблица_куртки[[#This Row],[название]],Таблица_моды_куртки[],12,0)</f>
        <v>0</v>
      </c>
      <c r="R53" s="172">
        <v>0</v>
      </c>
      <c r="S53" s="535">
        <f>Примерочная!$K$11*VLOOKUP(Таблица_куртки[[#This Row],[название]],Таблица_моды_куртки[],13,0)</f>
        <v>0</v>
      </c>
      <c r="T53" s="528">
        <v>0</v>
      </c>
      <c r="U53" s="532">
        <f>Примерочная!$K$11*VLOOKUP(Таблица_куртки[[#This Row],[название]],Таблица_моды_куртки[],14,0)</f>
        <v>0</v>
      </c>
      <c r="V53" s="422">
        <v>0</v>
      </c>
      <c r="W53" s="394"/>
      <c r="X53" s="394"/>
      <c r="Y53" s="394">
        <v>1</v>
      </c>
      <c r="Z53" s="424">
        <v>7</v>
      </c>
      <c r="AA53" s="3"/>
      <c r="AB53" s="3"/>
      <c r="AC53" s="3"/>
      <c r="AE53" s="3"/>
      <c r="AG53" s="3"/>
    </row>
    <row r="54" spans="1:61" ht="33" customHeight="1" x14ac:dyDescent="0.25">
      <c r="A54" s="394" t="s">
        <v>38</v>
      </c>
      <c r="B54" s="415"/>
      <c r="C54" s="416">
        <v>-8</v>
      </c>
      <c r="D54" s="515">
        <f>Примерочная!$N$11*VLOOKUP(Таблица_куртки[[#This Row],[название]],Таблица_моды_куртки[],4,0)+Примерочная!$M$11*VLOOKUP(Таблица_куртки[[#This Row],[название]],Таблица_моды_куртки[],5,0)</f>
        <v>0</v>
      </c>
      <c r="E54" s="417">
        <v>17</v>
      </c>
      <c r="F54" s="519">
        <f>Таблица_куртки[[#This Row],[защита]]*(Примерочная!$J$11*VLOOKUP(Таблица_куртки[[#This Row],[название]],Таблица_моды_куртки[],2,0)+Примерочная!$O$11*VLOOKUP(Таблица_куртки[[#This Row],[название]],Таблица_моды_куртки[],3,0))</f>
        <v>0</v>
      </c>
      <c r="G54" s="378">
        <v>35</v>
      </c>
      <c r="H54" s="355">
        <v>10</v>
      </c>
      <c r="I54" s="356">
        <v>30</v>
      </c>
      <c r="J54" s="515">
        <f>Примерочная!$O$11*VLOOKUP(Таблица_куртки[[#This Row],[название]],Таблица_моды_куртки[],6,0)</f>
        <v>0</v>
      </c>
      <c r="K54" s="422">
        <v>0</v>
      </c>
      <c r="L54" s="536">
        <f>Примерочная!$M$11*VLOOKUP(Таблица_куртки[[#This Row],[название]],Таблица_моды_куртки[],9,0)+Примерочная!$N$11*VLOOKUP(Таблица_куртки[[#This Row],[название]],Таблица_моды_куртки[],10,0)</f>
        <v>0</v>
      </c>
      <c r="M54" s="417">
        <v>8</v>
      </c>
      <c r="N54" s="515">
        <f>Примерочная!$L$11*VLOOKUP(Таблица_куртки[[#This Row],[название]],Таблица_моды_куртки[],11,0)</f>
        <v>0</v>
      </c>
      <c r="O54" s="425">
        <v>0.06</v>
      </c>
      <c r="P54" s="443">
        <v>0</v>
      </c>
      <c r="Q54" s="510">
        <f>Примерочная!$L$11*VLOOKUP(Таблица_куртки[[#This Row],[название]],Таблица_моды_куртки[],12,0)</f>
        <v>0</v>
      </c>
      <c r="R54" s="172">
        <v>0</v>
      </c>
      <c r="S54" s="535">
        <f>Примерочная!$K$11*VLOOKUP(Таблица_куртки[[#This Row],[название]],Таблица_моды_куртки[],13,0)</f>
        <v>0</v>
      </c>
      <c r="T54" s="528">
        <v>0</v>
      </c>
      <c r="U54" s="532">
        <f>Примерочная!$K$11*VLOOKUP(Таблица_куртки[[#This Row],[название]],Таблица_моды_куртки[],14,0)</f>
        <v>0</v>
      </c>
      <c r="V54" s="422">
        <v>0</v>
      </c>
      <c r="W54" s="394"/>
      <c r="X54" s="394"/>
      <c r="Y54" s="394">
        <v>5</v>
      </c>
      <c r="Z54" s="424">
        <v>7</v>
      </c>
      <c r="AA54" s="3"/>
      <c r="AB54" s="3"/>
      <c r="AC54" s="3"/>
      <c r="AE54" s="3"/>
      <c r="AG54" s="3"/>
    </row>
    <row r="55" spans="1:61" ht="33" customHeight="1" x14ac:dyDescent="0.25">
      <c r="A55" s="394" t="s">
        <v>39</v>
      </c>
      <c r="B55" s="415"/>
      <c r="C55" s="416">
        <v>-12</v>
      </c>
      <c r="D55" s="515">
        <f>Примерочная!$N$11*VLOOKUP(Таблица_куртки[[#This Row],[название]],Таблица_моды_куртки[],4,0)+Примерочная!$M$11*VLOOKUP(Таблица_куртки[[#This Row],[название]],Таблица_моды_куртки[],5,0)</f>
        <v>0</v>
      </c>
      <c r="E55" s="417">
        <v>24</v>
      </c>
      <c r="F55" s="519">
        <f>Таблица_куртки[[#This Row],[защита]]*(Примерочная!$J$11*VLOOKUP(Таблица_куртки[[#This Row],[название]],Таблица_моды_куртки[],2,0)+Примерочная!$O$11*VLOOKUP(Таблица_куртки[[#This Row],[название]],Таблица_моды_куртки[],3,0))</f>
        <v>0</v>
      </c>
      <c r="G55" s="378">
        <v>35</v>
      </c>
      <c r="H55" s="355">
        <v>10</v>
      </c>
      <c r="I55" s="356">
        <v>30</v>
      </c>
      <c r="J55" s="515">
        <f>Примерочная!$O$11*VLOOKUP(Таблица_куртки[[#This Row],[название]],Таблица_моды_куртки[],6,0)</f>
        <v>0</v>
      </c>
      <c r="K55" s="422">
        <v>0</v>
      </c>
      <c r="L55" s="536">
        <f>Примерочная!$M$11*VLOOKUP(Таблица_куртки[[#This Row],[название]],Таблица_моды_куртки[],9,0)+Примерочная!$N$11*VLOOKUP(Таблица_куртки[[#This Row],[название]],Таблица_моды_куртки[],10,0)</f>
        <v>0</v>
      </c>
      <c r="M55" s="417">
        <v>8</v>
      </c>
      <c r="N55" s="515">
        <f>Примерочная!$L$11*VLOOKUP(Таблица_куртки[[#This Row],[название]],Таблица_моды_куртки[],11,0)</f>
        <v>0</v>
      </c>
      <c r="O55" s="425">
        <v>0.06</v>
      </c>
      <c r="P55" s="443">
        <v>0</v>
      </c>
      <c r="Q55" s="510">
        <f>Примерочная!$L$11*VLOOKUP(Таблица_куртки[[#This Row],[название]],Таблица_моды_куртки[],12,0)</f>
        <v>0</v>
      </c>
      <c r="R55" s="172">
        <v>0</v>
      </c>
      <c r="S55" s="535">
        <f>Примерочная!$K$11*VLOOKUP(Таблица_куртки[[#This Row],[название]],Таблица_моды_куртки[],13,0)</f>
        <v>0</v>
      </c>
      <c r="T55" s="528">
        <v>0</v>
      </c>
      <c r="U55" s="532">
        <f>Примерочная!$K$11*VLOOKUP(Таблица_куртки[[#This Row],[название]],Таблица_моды_куртки[],14,0)</f>
        <v>0</v>
      </c>
      <c r="V55" s="422">
        <v>0</v>
      </c>
      <c r="W55" s="394"/>
      <c r="X55" s="394"/>
      <c r="Y55" s="394">
        <v>10</v>
      </c>
      <c r="Z55" s="424">
        <v>7</v>
      </c>
      <c r="AA55" s="3"/>
      <c r="AB55" s="3"/>
      <c r="AC55" s="3"/>
      <c r="AE55" s="3"/>
      <c r="AG55" s="3"/>
      <c r="AK55" s="3"/>
      <c r="AL55" s="3"/>
    </row>
    <row r="56" spans="1:61" ht="33" customHeight="1" x14ac:dyDescent="0.25">
      <c r="A56" s="394" t="s">
        <v>40</v>
      </c>
      <c r="B56" s="415"/>
      <c r="C56" s="416">
        <v>-15</v>
      </c>
      <c r="D56" s="515">
        <f>Примерочная!$N$11*VLOOKUP(Таблица_куртки[[#This Row],[название]],Таблица_моды_куртки[],4,0)+Примерочная!$M$11*VLOOKUP(Таблица_куртки[[#This Row],[название]],Таблица_моды_куртки[],5,0)</f>
        <v>0</v>
      </c>
      <c r="E56" s="417">
        <v>27</v>
      </c>
      <c r="F56" s="519">
        <f>Таблица_куртки[[#This Row],[защита]]*(Примерочная!$J$11*VLOOKUP(Таблица_куртки[[#This Row],[название]],Таблица_моды_куртки[],2,0)+Примерочная!$O$11*VLOOKUP(Таблица_куртки[[#This Row],[название]],Таблица_моды_куртки[],3,0))</f>
        <v>0</v>
      </c>
      <c r="G56" s="378">
        <v>35</v>
      </c>
      <c r="H56" s="355">
        <v>10</v>
      </c>
      <c r="I56" s="356">
        <v>30</v>
      </c>
      <c r="J56" s="515">
        <f>Примерочная!$O$11*VLOOKUP(Таблица_куртки[[#This Row],[название]],Таблица_моды_куртки[],6,0)</f>
        <v>0</v>
      </c>
      <c r="K56" s="422">
        <v>0</v>
      </c>
      <c r="L56" s="536">
        <f>Примерочная!$M$11*VLOOKUP(Таблица_куртки[[#This Row],[название]],Таблица_моды_куртки[],9,0)+Примерочная!$N$11*VLOOKUP(Таблица_куртки[[#This Row],[название]],Таблица_моды_куртки[],10,0)</f>
        <v>0</v>
      </c>
      <c r="M56" s="417">
        <v>8</v>
      </c>
      <c r="N56" s="515">
        <f>Примерочная!$L$11*VLOOKUP(Таблица_куртки[[#This Row],[название]],Таблица_моды_куртки[],11,0)</f>
        <v>0</v>
      </c>
      <c r="O56" s="425">
        <v>7.0000000000000007E-2</v>
      </c>
      <c r="P56" s="443">
        <v>0</v>
      </c>
      <c r="Q56" s="510">
        <f>Примерочная!$L$11*VLOOKUP(Таблица_куртки[[#This Row],[название]],Таблица_моды_куртки[],12,0)</f>
        <v>0</v>
      </c>
      <c r="R56" s="172">
        <v>0</v>
      </c>
      <c r="S56" s="535">
        <f>Примерочная!$K$11*VLOOKUP(Таблица_куртки[[#This Row],[название]],Таблица_моды_куртки[],13,0)</f>
        <v>0</v>
      </c>
      <c r="T56" s="528">
        <v>0</v>
      </c>
      <c r="U56" s="532">
        <f>Примерочная!$K$11*VLOOKUP(Таблица_куртки[[#This Row],[название]],Таблица_моды_куртки[],14,0)</f>
        <v>0</v>
      </c>
      <c r="V56" s="422">
        <v>0</v>
      </c>
      <c r="W56" s="394"/>
      <c r="X56" s="394"/>
      <c r="Y56" s="394">
        <v>14</v>
      </c>
      <c r="Z56" s="424">
        <v>7</v>
      </c>
      <c r="AA56" s="3"/>
      <c r="AB56" s="3"/>
      <c r="AC56" s="3"/>
      <c r="AE56" s="3"/>
      <c r="AG56" s="3"/>
      <c r="AK56" s="3"/>
      <c r="AL56" s="3"/>
    </row>
    <row r="57" spans="1:61" ht="33" customHeight="1" x14ac:dyDescent="0.25">
      <c r="A57" s="394" t="s">
        <v>41</v>
      </c>
      <c r="B57" s="415"/>
      <c r="C57" s="416">
        <v>-19</v>
      </c>
      <c r="D57" s="515">
        <f>Примерочная!$N$11*VLOOKUP(Таблица_куртки[[#This Row],[название]],Таблица_моды_куртки[],4,0)+Примерочная!$M$11*VLOOKUP(Таблица_куртки[[#This Row],[название]],Таблица_моды_куртки[],5,0)</f>
        <v>0</v>
      </c>
      <c r="E57" s="417">
        <v>36</v>
      </c>
      <c r="F57" s="519">
        <f>Таблица_куртки[[#This Row],[защита]]*(Примерочная!$J$11*VLOOKUP(Таблица_куртки[[#This Row],[название]],Таблица_моды_куртки[],2,0)+Примерочная!$O$11*VLOOKUP(Таблица_куртки[[#This Row],[название]],Таблица_моды_куртки[],3,0))</f>
        <v>0</v>
      </c>
      <c r="G57" s="378">
        <v>35</v>
      </c>
      <c r="H57" s="355">
        <v>10</v>
      </c>
      <c r="I57" s="356">
        <v>30</v>
      </c>
      <c r="J57" s="515">
        <f>Примерочная!$O$11*VLOOKUP(Таблица_куртки[[#This Row],[название]],Таблица_моды_куртки[],6,0)</f>
        <v>0</v>
      </c>
      <c r="K57" s="422">
        <v>0</v>
      </c>
      <c r="L57" s="536">
        <f>Примерочная!$M$11*VLOOKUP(Таблица_куртки[[#This Row],[название]],Таблица_моды_куртки[],9,0)+Примерочная!$N$11*VLOOKUP(Таблица_куртки[[#This Row],[название]],Таблица_моды_куртки[],10,0)</f>
        <v>0</v>
      </c>
      <c r="M57" s="417">
        <v>8</v>
      </c>
      <c r="N57" s="515">
        <f>Примерочная!$L$11*VLOOKUP(Таблица_куртки[[#This Row],[название]],Таблица_моды_куртки[],11,0)</f>
        <v>0</v>
      </c>
      <c r="O57" s="425">
        <v>7.0000000000000007E-2</v>
      </c>
      <c r="P57" s="443">
        <v>0</v>
      </c>
      <c r="Q57" s="510">
        <f>Примерочная!$L$11*VLOOKUP(Таблица_куртки[[#This Row],[название]],Таблица_моды_куртки[],12,0)</f>
        <v>0</v>
      </c>
      <c r="R57" s="172">
        <v>0</v>
      </c>
      <c r="S57" s="535">
        <f>Примерочная!$K$11*VLOOKUP(Таблица_куртки[[#This Row],[название]],Таблица_моды_куртки[],13,0)</f>
        <v>0</v>
      </c>
      <c r="T57" s="528">
        <v>0</v>
      </c>
      <c r="U57" s="532">
        <f>Примерочная!$K$11*VLOOKUP(Таблица_куртки[[#This Row],[название]],Таблица_моды_куртки[],14,0)</f>
        <v>0</v>
      </c>
      <c r="V57" s="422">
        <v>0</v>
      </c>
      <c r="W57" s="394"/>
      <c r="X57" s="394"/>
      <c r="Y57" s="394">
        <v>18</v>
      </c>
      <c r="Z57" s="424">
        <v>7</v>
      </c>
      <c r="AA57" s="3"/>
      <c r="AB57" s="3"/>
      <c r="AC57" s="3"/>
      <c r="AE57" s="3"/>
      <c r="AG57" s="3"/>
      <c r="AK57" s="3"/>
      <c r="AL57" s="3"/>
      <c r="AM57" s="3"/>
      <c r="AN57" s="3"/>
    </row>
    <row r="58" spans="1:61" ht="33" customHeight="1" x14ac:dyDescent="0.25">
      <c r="A58" s="394" t="s">
        <v>42</v>
      </c>
      <c r="B58" s="415"/>
      <c r="C58" s="416">
        <v>-22</v>
      </c>
      <c r="D58" s="515">
        <f>Примерочная!$N$11*VLOOKUP(Таблица_куртки[[#This Row],[название]],Таблица_моды_куртки[],4,0)+Примерочная!$M$11*VLOOKUP(Таблица_куртки[[#This Row],[название]],Таблица_моды_куртки[],5,0)</f>
        <v>0</v>
      </c>
      <c r="E58" s="417">
        <v>49</v>
      </c>
      <c r="F58" s="519">
        <f>Таблица_куртки[[#This Row],[защита]]*(Примерочная!$J$11*VLOOKUP(Таблица_куртки[[#This Row],[название]],Таблица_моды_куртки[],2,0)+Примерочная!$O$11*VLOOKUP(Таблица_куртки[[#This Row],[название]],Таблица_моды_куртки[],3,0))</f>
        <v>0</v>
      </c>
      <c r="G58" s="378">
        <v>35</v>
      </c>
      <c r="H58" s="355">
        <v>10</v>
      </c>
      <c r="I58" s="356">
        <v>30</v>
      </c>
      <c r="J58" s="515">
        <f>Примерочная!$O$11*VLOOKUP(Таблица_куртки[[#This Row],[название]],Таблица_моды_куртки[],6,0)</f>
        <v>0</v>
      </c>
      <c r="K58" s="422">
        <v>0</v>
      </c>
      <c r="L58" s="536">
        <f>Примерочная!$M$11*VLOOKUP(Таблица_куртки[[#This Row],[название]],Таблица_моды_куртки[],9,0)+Примерочная!$N$11*VLOOKUP(Таблица_куртки[[#This Row],[название]],Таблица_моды_куртки[],10,0)</f>
        <v>0</v>
      </c>
      <c r="M58" s="417">
        <v>8</v>
      </c>
      <c r="N58" s="515">
        <f>Примерочная!$L$11*VLOOKUP(Таблица_куртки[[#This Row],[название]],Таблица_моды_куртки[],11,0)</f>
        <v>0</v>
      </c>
      <c r="O58" s="425">
        <v>7.0000000000000007E-2</v>
      </c>
      <c r="P58" s="443">
        <v>0</v>
      </c>
      <c r="Q58" s="510">
        <f>Примерочная!$L$11*VLOOKUP(Таблица_куртки[[#This Row],[название]],Таблица_моды_куртки[],12,0)</f>
        <v>0</v>
      </c>
      <c r="R58" s="172">
        <v>0</v>
      </c>
      <c r="S58" s="535">
        <f>Примерочная!$K$11*VLOOKUP(Таблица_куртки[[#This Row],[название]],Таблица_моды_куртки[],13,0)</f>
        <v>0</v>
      </c>
      <c r="T58" s="528">
        <v>0</v>
      </c>
      <c r="U58" s="532">
        <f>Примерочная!$K$11*VLOOKUP(Таблица_куртки[[#This Row],[название]],Таблица_моды_куртки[],14,0)</f>
        <v>0</v>
      </c>
      <c r="V58" s="422">
        <v>0</v>
      </c>
      <c r="W58" s="394"/>
      <c r="X58" s="394"/>
      <c r="Y58" s="394">
        <v>22</v>
      </c>
      <c r="Z58" s="424">
        <v>7</v>
      </c>
      <c r="AA58" s="3"/>
      <c r="AB58" s="3"/>
      <c r="AC58" s="3"/>
      <c r="AE58" s="3"/>
      <c r="AG58" s="3"/>
      <c r="AK58" s="3"/>
      <c r="AL58" s="3"/>
      <c r="AM58" s="3"/>
      <c r="AN58" s="3"/>
      <c r="AO58" s="3"/>
    </row>
    <row r="59" spans="1:61" ht="33" customHeight="1" x14ac:dyDescent="0.25">
      <c r="A59" s="394" t="s">
        <v>43</v>
      </c>
      <c r="B59" s="415"/>
      <c r="C59" s="416">
        <v>-26</v>
      </c>
      <c r="D59" s="515">
        <f>Примерочная!$N$11*VLOOKUP(Таблица_куртки[[#This Row],[название]],Таблица_моды_куртки[],4,0)+Примерочная!$M$11*VLOOKUP(Таблица_куртки[[#This Row],[название]],Таблица_моды_куртки[],5,0)</f>
        <v>0</v>
      </c>
      <c r="E59" s="417">
        <v>56</v>
      </c>
      <c r="F59" s="519">
        <f>Таблица_куртки[[#This Row],[защита]]*(Примерочная!$J$11*VLOOKUP(Таблица_куртки[[#This Row],[название]],Таблица_моды_куртки[],2,0)+Примерочная!$O$11*VLOOKUP(Таблица_куртки[[#This Row],[название]],Таблица_моды_куртки[],3,0))</f>
        <v>0</v>
      </c>
      <c r="G59" s="378">
        <v>35</v>
      </c>
      <c r="H59" s="355">
        <v>10</v>
      </c>
      <c r="I59" s="356">
        <v>30</v>
      </c>
      <c r="J59" s="515">
        <f>Примерочная!$O$11*VLOOKUP(Таблица_куртки[[#This Row],[название]],Таблица_моды_куртки[],6,0)</f>
        <v>0</v>
      </c>
      <c r="K59" s="422">
        <v>0</v>
      </c>
      <c r="L59" s="536">
        <f>Примерочная!$M$11*VLOOKUP(Таблица_куртки[[#This Row],[название]],Таблица_моды_куртки[],9,0)+Примерочная!$N$11*VLOOKUP(Таблица_куртки[[#This Row],[название]],Таблица_моды_куртки[],10,0)</f>
        <v>0</v>
      </c>
      <c r="M59" s="417">
        <v>8</v>
      </c>
      <c r="N59" s="515">
        <f>Примерочная!$L$11*VLOOKUP(Таблица_куртки[[#This Row],[название]],Таблица_моды_куртки[],11,0)</f>
        <v>0</v>
      </c>
      <c r="O59" s="425">
        <v>0.08</v>
      </c>
      <c r="P59" s="443">
        <v>0</v>
      </c>
      <c r="Q59" s="510">
        <f>Примерочная!$L$11*VLOOKUP(Таблица_куртки[[#This Row],[название]],Таблица_моды_куртки[],12,0)</f>
        <v>0</v>
      </c>
      <c r="R59" s="172">
        <v>0</v>
      </c>
      <c r="S59" s="535">
        <f>Примерочная!$K$11*VLOOKUP(Таблица_куртки[[#This Row],[название]],Таблица_моды_куртки[],13,0)</f>
        <v>0</v>
      </c>
      <c r="T59" s="528">
        <v>0</v>
      </c>
      <c r="U59" s="532">
        <f>Примерочная!$K$11*VLOOKUP(Таблица_куртки[[#This Row],[название]],Таблица_моды_куртки[],14,0)</f>
        <v>0</v>
      </c>
      <c r="V59" s="422">
        <v>0</v>
      </c>
      <c r="W59" s="394"/>
      <c r="X59" s="394"/>
      <c r="Y59" s="394">
        <v>27</v>
      </c>
      <c r="Z59" s="424">
        <v>7</v>
      </c>
      <c r="AA59" s="3"/>
      <c r="AB59" s="3"/>
      <c r="AC59" s="3"/>
      <c r="AE59" s="3"/>
      <c r="AG59" s="3"/>
    </row>
    <row r="60" spans="1:61" ht="33" customHeight="1" x14ac:dyDescent="0.25">
      <c r="A60" s="394" t="s">
        <v>44</v>
      </c>
      <c r="B60" s="415"/>
      <c r="C60" s="416">
        <v>-29</v>
      </c>
      <c r="D60" s="515">
        <f>Примерочная!$N$11*VLOOKUP(Таблица_куртки[[#This Row],[название]],Таблица_моды_куртки[],4,0)+Примерочная!$M$11*VLOOKUP(Таблица_куртки[[#This Row],[название]],Таблица_моды_куртки[],5,0)</f>
        <v>0</v>
      </c>
      <c r="E60" s="417">
        <v>63</v>
      </c>
      <c r="F60" s="519">
        <f>Таблица_куртки[[#This Row],[защита]]*(Примерочная!$J$11*VLOOKUP(Таблица_куртки[[#This Row],[название]],Таблица_моды_куртки[],2,0)+Примерочная!$O$11*VLOOKUP(Таблица_куртки[[#This Row],[название]],Таблица_моды_куртки[],3,0))</f>
        <v>0</v>
      </c>
      <c r="G60" s="378">
        <v>35</v>
      </c>
      <c r="H60" s="355">
        <v>10</v>
      </c>
      <c r="I60" s="356">
        <v>30</v>
      </c>
      <c r="J60" s="515">
        <f>Примерочная!$O$11*VLOOKUP(Таблица_куртки[[#This Row],[название]],Таблица_моды_куртки[],6,0)</f>
        <v>0</v>
      </c>
      <c r="K60" s="422">
        <v>0</v>
      </c>
      <c r="L60" s="536">
        <f>Примерочная!$M$11*VLOOKUP(Таблица_куртки[[#This Row],[название]],Таблица_моды_куртки[],9,0)+Примерочная!$N$11*VLOOKUP(Таблица_куртки[[#This Row],[название]],Таблица_моды_куртки[],10,0)</f>
        <v>0</v>
      </c>
      <c r="M60" s="417">
        <v>8</v>
      </c>
      <c r="N60" s="515">
        <f>Примерочная!$L$11*VLOOKUP(Таблица_куртки[[#This Row],[название]],Таблица_моды_куртки[],11,0)</f>
        <v>0</v>
      </c>
      <c r="O60" s="425">
        <v>0.09</v>
      </c>
      <c r="P60" s="443">
        <v>0</v>
      </c>
      <c r="Q60" s="510">
        <f>Примерочная!$L$11*VLOOKUP(Таблица_куртки[[#This Row],[название]],Таблица_моды_куртки[],12,0)</f>
        <v>0</v>
      </c>
      <c r="R60" s="172">
        <v>0</v>
      </c>
      <c r="S60" s="535">
        <f>Примерочная!$K$11*VLOOKUP(Таблица_куртки[[#This Row],[название]],Таблица_моды_куртки[],13,0)</f>
        <v>0</v>
      </c>
      <c r="T60" s="528">
        <v>0</v>
      </c>
      <c r="U60" s="532">
        <f>Примерочная!$K$11*VLOOKUP(Таблица_куртки[[#This Row],[название]],Таблица_моды_куртки[],14,0)</f>
        <v>0</v>
      </c>
      <c r="V60" s="422">
        <v>0</v>
      </c>
      <c r="W60" s="394"/>
      <c r="X60" s="394"/>
      <c r="Y60" s="394">
        <v>35</v>
      </c>
      <c r="Z60" s="424">
        <v>7</v>
      </c>
      <c r="AA60" s="3"/>
      <c r="AB60" s="3"/>
      <c r="AC60" s="3"/>
      <c r="AE60" s="3"/>
      <c r="AG60" s="3"/>
      <c r="AK60" s="3"/>
      <c r="AL60" s="3"/>
    </row>
    <row r="61" spans="1:61" s="359" customFormat="1" ht="33" customHeight="1" x14ac:dyDescent="0.25">
      <c r="A61" s="394"/>
      <c r="B61" s="424"/>
      <c r="C61" s="417"/>
      <c r="D61" s="515"/>
      <c r="E61" s="417"/>
      <c r="F61" s="519"/>
      <c r="G61" s="378"/>
      <c r="H61" s="355"/>
      <c r="I61" s="356"/>
      <c r="J61" s="515"/>
      <c r="K61" s="422"/>
      <c r="L61" s="536"/>
      <c r="M61" s="417"/>
      <c r="N61" s="515"/>
      <c r="O61" s="425"/>
      <c r="P61" s="443"/>
      <c r="Q61" s="510"/>
      <c r="R61" s="172"/>
      <c r="S61" s="535"/>
      <c r="T61" s="528"/>
      <c r="U61" s="532"/>
      <c r="V61" s="422"/>
      <c r="W61" s="394"/>
      <c r="X61" s="394"/>
      <c r="Y61" s="394"/>
      <c r="Z61" s="424"/>
      <c r="AA61" s="3"/>
      <c r="AB61" s="3"/>
      <c r="AC61" s="3"/>
      <c r="AD61" s="9"/>
      <c r="AE61" s="3"/>
      <c r="AF61" s="9"/>
      <c r="AG61" s="3"/>
      <c r="AH61" s="9"/>
      <c r="AI61" s="9"/>
      <c r="AJ61" s="9"/>
      <c r="AK61" s="3"/>
      <c r="AL61" s="3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</row>
    <row r="62" spans="1:61" ht="33" customHeight="1" thickBot="1" x14ac:dyDescent="0.3">
      <c r="A62" s="402" t="s">
        <v>329</v>
      </c>
      <c r="B62" s="429"/>
      <c r="C62" s="430">
        <v>-25</v>
      </c>
      <c r="D62" s="517">
        <f>Примерочная!$N$11*VLOOKUP(Таблица_куртки[[#This Row],[название]],Таблица_моды_куртки[],4,0)+Примерочная!$M$11*VLOOKUP(Таблица_куртки[[#This Row],[название]],Таблица_моды_куртки[],5,0)</f>
        <v>0</v>
      </c>
      <c r="E62" s="446">
        <v>9</v>
      </c>
      <c r="F62" s="519">
        <f>Таблица_куртки[[#This Row],[защита]]*(Примерочная!$J$11*VLOOKUP(Таблица_куртки[[#This Row],[название]],Таблица_моды_куртки[],2,0)+Примерочная!$O$11*VLOOKUP(Таблица_куртки[[#This Row],[название]],Таблица_моды_куртки[],3,0))</f>
        <v>0</v>
      </c>
      <c r="G62" s="379">
        <v>25</v>
      </c>
      <c r="H62" s="380">
        <v>25</v>
      </c>
      <c r="I62" s="381">
        <v>25</v>
      </c>
      <c r="J62" s="515">
        <f>Примерочная!$O$11*VLOOKUP(Таблица_куртки[[#This Row],[название]],Таблица_моды_куртки[],6,0)</f>
        <v>0</v>
      </c>
      <c r="K62" s="447">
        <v>5</v>
      </c>
      <c r="L62" s="536">
        <f>Примерочная!$M$11*VLOOKUP(Таблица_куртки[[#This Row],[название]],Таблица_моды_куртки[],9,0)+Примерочная!$N$11*VLOOKUP(Таблица_куртки[[#This Row],[название]],Таблица_моды_куртки[],10,0)</f>
        <v>0</v>
      </c>
      <c r="M62" s="431">
        <f>5+(Примерочная!L11*45)</f>
        <v>5</v>
      </c>
      <c r="N62" s="517">
        <f>Примерочная!$L$11*VLOOKUP(Таблица_куртки[[#This Row],[название]],Таблица_моды_куртки[],11,0)</f>
        <v>0</v>
      </c>
      <c r="O62" s="432">
        <v>0.04</v>
      </c>
      <c r="P62" s="448">
        <v>0</v>
      </c>
      <c r="Q62" s="511">
        <f>Примерочная!$L$11*VLOOKUP(Таблица_куртки[[#This Row],[название]],Таблица_моды_куртки[],12,0)</f>
        <v>0</v>
      </c>
      <c r="R62" s="173">
        <v>0</v>
      </c>
      <c r="S62" s="535">
        <f>Примерочная!$K$11*VLOOKUP(Таблица_куртки[[#This Row],[название]],Таблица_моды_куртки[],13,0)</f>
        <v>0</v>
      </c>
      <c r="T62" s="529">
        <v>5</v>
      </c>
      <c r="U62" s="533">
        <f>Примерочная!$K$11*VLOOKUP(Таблица_куртки[[#This Row],[название]],Таблица_моды_куртки[],14,0)</f>
        <v>0</v>
      </c>
      <c r="V62" s="447">
        <v>4</v>
      </c>
      <c r="W62" s="402"/>
      <c r="X62" s="402"/>
      <c r="Y62" s="402"/>
      <c r="Z62" s="522"/>
      <c r="AA62" s="3"/>
      <c r="AB62" s="3"/>
      <c r="AC62" s="3"/>
      <c r="AE62" s="3"/>
      <c r="AG62" s="3"/>
      <c r="AK62" s="3"/>
      <c r="AL62" s="3"/>
    </row>
    <row r="63" spans="1:61" ht="33" customHeight="1" thickBot="1" x14ac:dyDescent="0.3">
      <c r="A63" s="436"/>
      <c r="Y63" s="40"/>
      <c r="Z63" s="3"/>
      <c r="AA63" s="441"/>
      <c r="AB63" s="3"/>
      <c r="AC63" s="3"/>
      <c r="AE63" s="3"/>
      <c r="AG63" s="3"/>
      <c r="AK63" s="3"/>
      <c r="AL63" s="3"/>
      <c r="AW63" s="359"/>
      <c r="AX63" s="359"/>
      <c r="AY63" s="359"/>
      <c r="AZ63" s="359"/>
      <c r="BA63" s="359"/>
      <c r="BB63" s="359"/>
      <c r="BC63" s="359"/>
      <c r="BD63" s="359"/>
      <c r="BE63" s="359"/>
      <c r="BF63" s="359"/>
      <c r="BG63" s="359"/>
      <c r="BH63" s="359"/>
      <c r="BI63" s="359"/>
    </row>
    <row r="64" spans="1:61" s="458" customFormat="1" ht="33" customHeight="1" x14ac:dyDescent="0.25">
      <c r="A64" s="449" t="s">
        <v>324</v>
      </c>
      <c r="B64" s="555" t="s">
        <v>599</v>
      </c>
      <c r="C64" s="451" t="s">
        <v>0</v>
      </c>
      <c r="D64" s="452" t="s">
        <v>337</v>
      </c>
      <c r="E64" s="451" t="s">
        <v>1</v>
      </c>
      <c r="F64" s="453" t="s">
        <v>344</v>
      </c>
      <c r="G64" s="398" t="s">
        <v>7</v>
      </c>
      <c r="H64" s="399" t="s">
        <v>8</v>
      </c>
      <c r="I64" s="400" t="s">
        <v>321</v>
      </c>
      <c r="J64" s="452" t="s">
        <v>343</v>
      </c>
      <c r="K64" s="449" t="s">
        <v>322</v>
      </c>
      <c r="L64" s="450" t="s">
        <v>347</v>
      </c>
      <c r="M64" s="451" t="s">
        <v>323</v>
      </c>
      <c r="N64" s="452" t="s">
        <v>348</v>
      </c>
      <c r="O64" s="454" t="s">
        <v>45</v>
      </c>
      <c r="P64" s="455" t="s">
        <v>330</v>
      </c>
      <c r="Q64" s="456" t="s">
        <v>600</v>
      </c>
      <c r="R64" s="455" t="s">
        <v>130</v>
      </c>
      <c r="S64" s="520" t="s">
        <v>603</v>
      </c>
      <c r="T64" s="538" t="s">
        <v>133</v>
      </c>
      <c r="U64" s="520" t="s">
        <v>604</v>
      </c>
      <c r="V64" s="449" t="s">
        <v>331</v>
      </c>
      <c r="W64" s="403" t="s">
        <v>501</v>
      </c>
      <c r="X64" s="403" t="s">
        <v>502</v>
      </c>
      <c r="Y64" s="403" t="s">
        <v>503</v>
      </c>
      <c r="Z64" s="450" t="s">
        <v>504</v>
      </c>
      <c r="AA64" s="3"/>
      <c r="AB64" s="3"/>
      <c r="AC64" s="3"/>
      <c r="AD64" s="9"/>
      <c r="AE64" s="3"/>
      <c r="AF64" s="9"/>
      <c r="AG64" s="3"/>
      <c r="AH64" s="9"/>
      <c r="AI64" s="9"/>
      <c r="AJ64" s="9"/>
      <c r="AK64" s="3"/>
      <c r="AL64" s="3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</row>
    <row r="65" spans="1:61" ht="33" customHeight="1" thickBot="1" x14ac:dyDescent="0.3">
      <c r="A65" s="414" t="s">
        <v>562</v>
      </c>
      <c r="B65" s="556"/>
      <c r="C65" s="460">
        <v>0</v>
      </c>
      <c r="D65" s="551">
        <v>0</v>
      </c>
      <c r="E65" s="461">
        <v>0</v>
      </c>
      <c r="F65" s="552">
        <v>0</v>
      </c>
      <c r="G65" s="389">
        <v>0</v>
      </c>
      <c r="H65" s="367">
        <v>0</v>
      </c>
      <c r="I65" s="369">
        <v>0</v>
      </c>
      <c r="J65" s="551">
        <v>0</v>
      </c>
      <c r="K65" s="462">
        <v>0</v>
      </c>
      <c r="L65" s="550">
        <v>0</v>
      </c>
      <c r="M65" s="461">
        <v>0</v>
      </c>
      <c r="N65" s="548">
        <v>0</v>
      </c>
      <c r="O65" s="463">
        <v>0</v>
      </c>
      <c r="P65" s="464">
        <v>0</v>
      </c>
      <c r="Q65" s="545">
        <v>0</v>
      </c>
      <c r="R65" s="537">
        <v>0</v>
      </c>
      <c r="S65" s="543">
        <v>0</v>
      </c>
      <c r="T65" s="539">
        <v>0</v>
      </c>
      <c r="U65" s="541">
        <v>0</v>
      </c>
      <c r="V65" s="540">
        <v>0</v>
      </c>
      <c r="W65" s="404">
        <v>0</v>
      </c>
      <c r="X65" s="404">
        <v>0</v>
      </c>
      <c r="Y65" s="404">
        <v>0</v>
      </c>
      <c r="Z65" s="460">
        <v>0</v>
      </c>
      <c r="AA65" s="3"/>
      <c r="AB65" s="441"/>
      <c r="AC65" s="441"/>
      <c r="AD65" s="359"/>
      <c r="AE65" s="441"/>
      <c r="AF65" s="359"/>
      <c r="AG65" s="441"/>
      <c r="AH65" s="359"/>
      <c r="AI65" s="359"/>
      <c r="AJ65" s="359"/>
      <c r="AK65" s="359"/>
      <c r="AL65" s="359"/>
      <c r="AM65" s="359"/>
      <c r="AN65" s="359"/>
      <c r="AO65" s="359"/>
      <c r="AP65" s="359"/>
      <c r="AQ65" s="359"/>
      <c r="AR65" s="359"/>
      <c r="AS65" s="359"/>
      <c r="AT65" s="359"/>
      <c r="AU65" s="359"/>
      <c r="AV65" s="359"/>
    </row>
    <row r="66" spans="1:61" ht="33" customHeight="1" x14ac:dyDescent="0.25">
      <c r="A66" s="405" t="s">
        <v>9</v>
      </c>
      <c r="B66" s="465"/>
      <c r="C66" s="405">
        <v>-2</v>
      </c>
      <c r="D66" s="551">
        <f>Примерочная!$N$15*VLOOKUP(Таблица_брюки[[#This Row],[название]],Таблица_моды_брюки[],4,0)+Примерочная!$M$15*VLOOKUP(Таблица_брюки[[#This Row],[название]],Таблица_моды_брюки[],5,0)</f>
        <v>0</v>
      </c>
      <c r="E66" s="466">
        <v>4</v>
      </c>
      <c r="F66" s="552">
        <f>Таблица_брюки[[#This Row],[защита]]*(1+Примерочная!$J$15*VLOOKUP(Таблица_брюки[[#This Row],[название]],Таблица_моды_брюки[],2,0)+Примерочная!$O$15*VLOOKUP(Таблица_брюки[[#This Row],[название]],Таблица_моды_брюки[],3,0))-Таблица_брюки[[#This Row],[защита]]</f>
        <v>0</v>
      </c>
      <c r="G66" s="390">
        <v>15</v>
      </c>
      <c r="H66" s="361">
        <v>15</v>
      </c>
      <c r="I66" s="362">
        <v>6</v>
      </c>
      <c r="J66" s="551">
        <f>Примерочная!$O$15*VLOOKUP(Таблица_брюки[[#This Row],[название]],Таблица_моды_брюки[],6,0)</f>
        <v>0</v>
      </c>
      <c r="K66" s="467">
        <v>3</v>
      </c>
      <c r="L66" s="550">
        <f>Примерочная!$M$15*VLOOKUP(Таблица_брюки[[#This Row],[название]],Таблица_моды_брюки[],9,0)+Примерочная!$N$15*VLOOKUP(Таблица_брюки[[#This Row],[название]],Таблица_моды_брюки[],10,0)</f>
        <v>0</v>
      </c>
      <c r="M66" s="466">
        <v>3</v>
      </c>
      <c r="N66" s="549">
        <f>Примерочная!$L$15*VLOOKUP(Таблица_брюки[[#This Row],[название]],Таблица_моды_брюки[],11,0)</f>
        <v>0</v>
      </c>
      <c r="O66" s="468">
        <v>0</v>
      </c>
      <c r="P66" s="469">
        <v>0</v>
      </c>
      <c r="Q66" s="546">
        <f>Примерочная!$L$11*VLOOKUP(Таблица_брюки[[#This Row],[название]],Таблица_моды_брюки[],12,0)</f>
        <v>0</v>
      </c>
      <c r="R66" s="262">
        <f>0</f>
        <v>0</v>
      </c>
      <c r="S66" s="544">
        <f>Примерочная!$K$15*VLOOKUP(Таблица_брюки[[#This Row],[название]],Таблица_моды_брюки[],13,0)</f>
        <v>0</v>
      </c>
      <c r="T66" s="305">
        <v>0</v>
      </c>
      <c r="U66" s="542">
        <f>Примерочная!$K$15*VLOOKUP(Таблица_брюки[[#This Row],[название]],Таблица_моды_брюки[],14,0)</f>
        <v>0</v>
      </c>
      <c r="V66" s="467">
        <v>0</v>
      </c>
      <c r="W66" s="405">
        <v>1</v>
      </c>
      <c r="X66" s="405"/>
      <c r="Y66" s="405"/>
      <c r="Z66" s="128">
        <v>7</v>
      </c>
      <c r="AA66" s="457"/>
      <c r="AB66" s="3"/>
      <c r="AC66" s="3"/>
      <c r="AE66" s="3"/>
      <c r="AG66" s="3"/>
      <c r="AW66" s="458"/>
      <c r="AX66" s="458"/>
      <c r="AY66" s="458"/>
      <c r="AZ66" s="458"/>
      <c r="BA66" s="458"/>
      <c r="BB66" s="458"/>
      <c r="BC66" s="458"/>
      <c r="BD66" s="458"/>
      <c r="BE66" s="458"/>
      <c r="BF66" s="458"/>
      <c r="BG66" s="458"/>
      <c r="BH66" s="458"/>
      <c r="BI66" s="458"/>
    </row>
    <row r="67" spans="1:61" ht="33" customHeight="1" x14ac:dyDescent="0.25">
      <c r="A67" s="405" t="s">
        <v>13</v>
      </c>
      <c r="B67" s="459"/>
      <c r="C67" s="405">
        <v>-4</v>
      </c>
      <c r="D67" s="551">
        <f>Примерочная!$N$15*VLOOKUP(Таблица_брюки[[#This Row],[название]],Таблица_моды_брюки[],4,0)+Примерочная!$M$15*VLOOKUP(Таблица_брюки[[#This Row],[название]],Таблица_моды_брюки[],5,0)</f>
        <v>0</v>
      </c>
      <c r="E67" s="466">
        <v>6</v>
      </c>
      <c r="F67" s="552">
        <f>Таблица_брюки[[#This Row],[защита]]*(1+Примерочная!$J$15*VLOOKUP(Таблица_брюки[[#This Row],[название]],Таблица_моды_брюки[],2,0)+Примерочная!$O$15*VLOOKUP(Таблица_брюки[[#This Row],[название]],Таблица_моды_брюки[],3,0))-Таблица_брюки[[#This Row],[защита]]</f>
        <v>0</v>
      </c>
      <c r="G67" s="390">
        <v>15</v>
      </c>
      <c r="H67" s="361">
        <v>15</v>
      </c>
      <c r="I67" s="362">
        <v>6</v>
      </c>
      <c r="J67" s="551">
        <f>Примерочная!$O$15*VLOOKUP(Таблица_брюки[[#This Row],[название]],Таблица_моды_брюки[],6,0)</f>
        <v>0</v>
      </c>
      <c r="K67" s="467">
        <v>3</v>
      </c>
      <c r="L67" s="550">
        <f>Примерочная!$M$15*VLOOKUP(Таблица_брюки[[#This Row],[название]],Таблица_моды_брюки[],9,0)+Примерочная!$N$15*VLOOKUP(Таблица_брюки[[#This Row],[название]],Таблица_моды_брюки[],10,0)</f>
        <v>0</v>
      </c>
      <c r="M67" s="466">
        <v>3</v>
      </c>
      <c r="N67" s="549">
        <f>Примерочная!$L$15*VLOOKUP(Таблица_брюки[[#This Row],[название]],Таблица_моды_брюки[],11,0)</f>
        <v>0</v>
      </c>
      <c r="O67" s="468">
        <v>0</v>
      </c>
      <c r="P67" s="469">
        <v>0</v>
      </c>
      <c r="Q67" s="546">
        <f>Примерочная!$L$11*VLOOKUP(Таблица_брюки[[#This Row],[название]],Таблица_моды_брюки[],12,0)</f>
        <v>0</v>
      </c>
      <c r="R67" s="262">
        <f>0</f>
        <v>0</v>
      </c>
      <c r="S67" s="544">
        <f>Примерочная!$K$15*VLOOKUP(Таблица_брюки[[#This Row],[название]],Таблица_моды_брюки[],13,0)</f>
        <v>0</v>
      </c>
      <c r="T67" s="305">
        <v>0</v>
      </c>
      <c r="U67" s="542">
        <f>Примерочная!$K$15*VLOOKUP(Таблица_брюки[[#This Row],[название]],Таблица_моды_брюки[],14,0)</f>
        <v>0</v>
      </c>
      <c r="V67" s="467">
        <v>0</v>
      </c>
      <c r="W67" s="405">
        <v>5</v>
      </c>
      <c r="X67" s="405"/>
      <c r="Y67" s="405"/>
      <c r="Z67" s="128">
        <v>7</v>
      </c>
      <c r="AA67" s="3"/>
      <c r="AB67" s="3"/>
      <c r="AC67" s="3"/>
      <c r="AE67" s="3"/>
      <c r="AG67" s="3"/>
    </row>
    <row r="68" spans="1:61" ht="33" customHeight="1" x14ac:dyDescent="0.25">
      <c r="A68" s="405" t="s">
        <v>14</v>
      </c>
      <c r="B68" s="459"/>
      <c r="C68" s="405">
        <v>-6</v>
      </c>
      <c r="D68" s="551">
        <f>Примерочная!$N$15*VLOOKUP(Таблица_брюки[[#This Row],[название]],Таблица_моды_брюки[],4,0)+Примерочная!$M$15*VLOOKUP(Таблица_брюки[[#This Row],[название]],Таблица_моды_брюки[],5,0)</f>
        <v>0</v>
      </c>
      <c r="E68" s="466">
        <v>9</v>
      </c>
      <c r="F68" s="552">
        <f>Таблица_брюки[[#This Row],[защита]]*(1+Примерочная!$J$15*VLOOKUP(Таблица_брюки[[#This Row],[название]],Таблица_моды_брюки[],2,0)+Примерочная!$O$15*VLOOKUP(Таблица_брюки[[#This Row],[название]],Таблица_моды_брюки[],3,0))-Таблица_брюки[[#This Row],[защита]]</f>
        <v>0</v>
      </c>
      <c r="G68" s="390">
        <v>15</v>
      </c>
      <c r="H68" s="361">
        <v>15</v>
      </c>
      <c r="I68" s="362">
        <v>6</v>
      </c>
      <c r="J68" s="551">
        <f>Примерочная!$O$15*VLOOKUP(Таблица_брюки[[#This Row],[название]],Таблица_моды_брюки[],6,0)</f>
        <v>0</v>
      </c>
      <c r="K68" s="467">
        <v>3</v>
      </c>
      <c r="L68" s="550">
        <f>Примерочная!$M$15*VLOOKUP(Таблица_брюки[[#This Row],[название]],Таблица_моды_брюки[],9,0)+Примерочная!$N$15*VLOOKUP(Таблица_брюки[[#This Row],[название]],Таблица_моды_брюки[],10,0)</f>
        <v>0</v>
      </c>
      <c r="M68" s="466">
        <v>3</v>
      </c>
      <c r="N68" s="549">
        <f>Примерочная!$L$15*VLOOKUP(Таблица_брюки[[#This Row],[название]],Таблица_моды_брюки[],11,0)</f>
        <v>0</v>
      </c>
      <c r="O68" s="468">
        <v>0</v>
      </c>
      <c r="P68" s="469">
        <v>0</v>
      </c>
      <c r="Q68" s="546">
        <f>Примерочная!$L$11*VLOOKUP(Таблица_брюки[[#This Row],[название]],Таблица_моды_брюки[],12,0)</f>
        <v>0</v>
      </c>
      <c r="R68" s="262">
        <f>0</f>
        <v>0</v>
      </c>
      <c r="S68" s="544">
        <f>Примерочная!$K$15*VLOOKUP(Таблица_брюки[[#This Row],[название]],Таблица_моды_брюки[],13,0)</f>
        <v>0</v>
      </c>
      <c r="T68" s="305">
        <v>0</v>
      </c>
      <c r="U68" s="542">
        <f>Примерочная!$K$15*VLOOKUP(Таблица_брюки[[#This Row],[название]],Таблица_моды_брюки[],14,0)</f>
        <v>0</v>
      </c>
      <c r="V68" s="467">
        <v>0</v>
      </c>
      <c r="W68" s="405">
        <v>10</v>
      </c>
      <c r="X68" s="405"/>
      <c r="Y68" s="405"/>
      <c r="Z68" s="128">
        <v>7</v>
      </c>
      <c r="AA68" s="3"/>
      <c r="AB68" s="457"/>
      <c r="AC68" s="457"/>
      <c r="AD68" s="458"/>
      <c r="AE68" s="457"/>
      <c r="AF68" s="458"/>
      <c r="AG68" s="457"/>
      <c r="AH68" s="458"/>
      <c r="AI68" s="458"/>
      <c r="AJ68" s="458"/>
      <c r="AK68" s="458"/>
      <c r="AL68" s="458"/>
      <c r="AM68" s="458"/>
      <c r="AN68" s="458"/>
      <c r="AO68" s="458"/>
      <c r="AP68" s="458"/>
      <c r="AQ68" s="458"/>
      <c r="AR68" s="458"/>
      <c r="AS68" s="458"/>
      <c r="AT68" s="458"/>
      <c r="AU68" s="458"/>
      <c r="AV68" s="458"/>
    </row>
    <row r="69" spans="1:61" ht="33" customHeight="1" x14ac:dyDescent="0.25">
      <c r="A69" s="405" t="s">
        <v>15</v>
      </c>
      <c r="B69" s="459"/>
      <c r="C69" s="405">
        <v>-8</v>
      </c>
      <c r="D69" s="551">
        <f>Примерочная!$N$15*VLOOKUP(Таблица_брюки[[#This Row],[название]],Таблица_моды_брюки[],4,0)+Примерочная!$M$15*VLOOKUP(Таблица_брюки[[#This Row],[название]],Таблица_моды_брюки[],5,0)</f>
        <v>0</v>
      </c>
      <c r="E69" s="466">
        <v>11</v>
      </c>
      <c r="F69" s="552">
        <f>Таблица_брюки[[#This Row],[защита]]*(1+Примерочная!$J$15*VLOOKUP(Таблица_брюки[[#This Row],[название]],Таблица_моды_брюки[],2,0)+Примерочная!$O$15*VLOOKUP(Таблица_брюки[[#This Row],[название]],Таблица_моды_брюки[],3,0))-Таблица_брюки[[#This Row],[защита]]</f>
        <v>0</v>
      </c>
      <c r="G69" s="390">
        <v>15</v>
      </c>
      <c r="H69" s="361">
        <v>15</v>
      </c>
      <c r="I69" s="362">
        <v>6</v>
      </c>
      <c r="J69" s="551">
        <f>Примерочная!$O$15*VLOOKUP(Таблица_брюки[[#This Row],[название]],Таблица_моды_брюки[],6,0)</f>
        <v>0</v>
      </c>
      <c r="K69" s="467">
        <v>3</v>
      </c>
      <c r="L69" s="550">
        <f>Примерочная!$M$15*VLOOKUP(Таблица_брюки[[#This Row],[название]],Таблица_моды_брюки[],9,0)+Примерочная!$N$15*VLOOKUP(Таблица_брюки[[#This Row],[название]],Таблица_моды_брюки[],10,0)</f>
        <v>0</v>
      </c>
      <c r="M69" s="466">
        <v>3</v>
      </c>
      <c r="N69" s="549">
        <f>Примерочная!$L$15*VLOOKUP(Таблица_брюки[[#This Row],[название]],Таблица_моды_брюки[],11,0)</f>
        <v>0</v>
      </c>
      <c r="O69" s="468">
        <v>0</v>
      </c>
      <c r="P69" s="469">
        <v>0</v>
      </c>
      <c r="Q69" s="546">
        <f>Примерочная!$L$11*VLOOKUP(Таблица_брюки[[#This Row],[название]],Таблица_моды_брюки[],12,0)</f>
        <v>0</v>
      </c>
      <c r="R69" s="262">
        <f>0</f>
        <v>0</v>
      </c>
      <c r="S69" s="544">
        <f>Примерочная!$K$15*VLOOKUP(Таблица_брюки[[#This Row],[название]],Таблица_моды_брюки[],13,0)</f>
        <v>0</v>
      </c>
      <c r="T69" s="305">
        <v>0</v>
      </c>
      <c r="U69" s="542">
        <f>Примерочная!$K$15*VLOOKUP(Таблица_брюки[[#This Row],[название]],Таблица_моды_брюки[],14,0)</f>
        <v>0</v>
      </c>
      <c r="V69" s="467">
        <v>0</v>
      </c>
      <c r="W69" s="405">
        <v>14</v>
      </c>
      <c r="X69" s="405"/>
      <c r="Y69" s="405"/>
      <c r="Z69" s="128">
        <v>7</v>
      </c>
      <c r="AA69" s="3"/>
      <c r="AB69" s="3"/>
      <c r="AC69" s="3"/>
      <c r="AE69" s="3"/>
      <c r="AG69" s="3"/>
    </row>
    <row r="70" spans="1:61" ht="33" customHeight="1" x14ac:dyDescent="0.25">
      <c r="A70" s="405" t="s">
        <v>16</v>
      </c>
      <c r="B70" s="459"/>
      <c r="C70" s="405">
        <v>-10</v>
      </c>
      <c r="D70" s="551">
        <f>Примерочная!$N$15*VLOOKUP(Таблица_брюки[[#This Row],[название]],Таблица_моды_брюки[],4,0)+Примерочная!$M$15*VLOOKUP(Таблица_брюки[[#This Row],[название]],Таблица_моды_брюки[],5,0)</f>
        <v>0</v>
      </c>
      <c r="E70" s="466">
        <v>15</v>
      </c>
      <c r="F70" s="552">
        <f>Таблица_брюки[[#This Row],[защита]]*(1+Примерочная!$J$15*VLOOKUP(Таблица_брюки[[#This Row],[название]],Таблица_моды_брюки[],2,0)+Примерочная!$O$15*VLOOKUP(Таблица_брюки[[#This Row],[название]],Таблица_моды_брюки[],3,0))-Таблица_брюки[[#This Row],[защита]]</f>
        <v>0</v>
      </c>
      <c r="G70" s="390">
        <v>15</v>
      </c>
      <c r="H70" s="361">
        <v>15</v>
      </c>
      <c r="I70" s="362">
        <v>6</v>
      </c>
      <c r="J70" s="551">
        <f>Примерочная!$O$15*VLOOKUP(Таблица_брюки[[#This Row],[название]],Таблица_моды_брюки[],6,0)</f>
        <v>0</v>
      </c>
      <c r="K70" s="467">
        <v>3</v>
      </c>
      <c r="L70" s="550">
        <f>Примерочная!$M$15*VLOOKUP(Таблица_брюки[[#This Row],[название]],Таблица_моды_брюки[],9,0)+Примерочная!$N$15*VLOOKUP(Таблица_брюки[[#This Row],[название]],Таблица_моды_брюки[],10,0)</f>
        <v>0</v>
      </c>
      <c r="M70" s="466">
        <v>3</v>
      </c>
      <c r="N70" s="549">
        <f>Примерочная!$L$15*VLOOKUP(Таблица_брюки[[#This Row],[название]],Таблица_моды_брюки[],11,0)</f>
        <v>0</v>
      </c>
      <c r="O70" s="468">
        <v>0</v>
      </c>
      <c r="P70" s="469">
        <v>0</v>
      </c>
      <c r="Q70" s="546">
        <f>Примерочная!$L$11*VLOOKUP(Таблица_брюки[[#This Row],[название]],Таблица_моды_брюки[],12,0)</f>
        <v>0</v>
      </c>
      <c r="R70" s="262">
        <f>0</f>
        <v>0</v>
      </c>
      <c r="S70" s="544">
        <f>Примерочная!$K$15*VLOOKUP(Таблица_брюки[[#This Row],[название]],Таблица_моды_брюки[],13,0)</f>
        <v>0</v>
      </c>
      <c r="T70" s="305">
        <v>0</v>
      </c>
      <c r="U70" s="542">
        <f>Примерочная!$K$15*VLOOKUP(Таблица_брюки[[#This Row],[название]],Таблица_моды_брюки[],14,0)</f>
        <v>0</v>
      </c>
      <c r="V70" s="467">
        <v>0</v>
      </c>
      <c r="W70" s="405">
        <v>18</v>
      </c>
      <c r="X70" s="405"/>
      <c r="Y70" s="405"/>
      <c r="Z70" s="128">
        <v>7</v>
      </c>
      <c r="AA70" s="3"/>
      <c r="AB70" s="3"/>
      <c r="AC70" s="3"/>
      <c r="AE70" s="3"/>
      <c r="AG70" s="3"/>
    </row>
    <row r="71" spans="1:61" ht="33" customHeight="1" x14ac:dyDescent="0.25">
      <c r="A71" s="405" t="s">
        <v>17</v>
      </c>
      <c r="B71" s="459"/>
      <c r="C71" s="405">
        <v>-12</v>
      </c>
      <c r="D71" s="551">
        <f>Примерочная!$N$15*VLOOKUP(Таблица_брюки[[#This Row],[название]],Таблица_моды_брюки[],4,0)+Примерочная!$M$15*VLOOKUP(Таблица_брюки[[#This Row],[название]],Таблица_моды_брюки[],5,0)</f>
        <v>0</v>
      </c>
      <c r="E71" s="466">
        <v>20</v>
      </c>
      <c r="F71" s="552">
        <f>Таблица_брюки[[#This Row],[защита]]*(1+Примерочная!$J$15*VLOOKUP(Таблица_брюки[[#This Row],[название]],Таблица_моды_брюки[],2,0)+Примерочная!$O$15*VLOOKUP(Таблица_брюки[[#This Row],[название]],Таблица_моды_брюки[],3,0))-Таблица_брюки[[#This Row],[защита]]</f>
        <v>0</v>
      </c>
      <c r="G71" s="390">
        <v>15</v>
      </c>
      <c r="H71" s="361">
        <v>15</v>
      </c>
      <c r="I71" s="362">
        <v>6</v>
      </c>
      <c r="J71" s="551">
        <f>Примерочная!$O$15*VLOOKUP(Таблица_брюки[[#This Row],[название]],Таблица_моды_брюки[],6,0)</f>
        <v>0</v>
      </c>
      <c r="K71" s="467">
        <v>3</v>
      </c>
      <c r="L71" s="550">
        <f>Примерочная!$M$15*VLOOKUP(Таблица_брюки[[#This Row],[название]],Таблица_моды_брюки[],9,0)+Примерочная!$N$15*VLOOKUP(Таблица_брюки[[#This Row],[название]],Таблица_моды_брюки[],10,0)</f>
        <v>0</v>
      </c>
      <c r="M71" s="466">
        <v>3</v>
      </c>
      <c r="N71" s="549">
        <f>Примерочная!$L$15*VLOOKUP(Таблица_брюки[[#This Row],[название]],Таблица_моды_брюки[],11,0)</f>
        <v>0</v>
      </c>
      <c r="O71" s="468">
        <v>0</v>
      </c>
      <c r="P71" s="469">
        <v>0</v>
      </c>
      <c r="Q71" s="546">
        <f>Примерочная!$L$11*VLOOKUP(Таблица_брюки[[#This Row],[название]],Таблица_моды_брюки[],12,0)</f>
        <v>0</v>
      </c>
      <c r="R71" s="262">
        <f>0</f>
        <v>0</v>
      </c>
      <c r="S71" s="544">
        <f>Примерочная!$K$15*VLOOKUP(Таблица_брюки[[#This Row],[название]],Таблица_моды_брюки[],13,0)</f>
        <v>0</v>
      </c>
      <c r="T71" s="305">
        <v>0</v>
      </c>
      <c r="U71" s="542">
        <f>Примерочная!$K$15*VLOOKUP(Таблица_брюки[[#This Row],[название]],Таблица_моды_брюки[],14,0)</f>
        <v>0</v>
      </c>
      <c r="V71" s="467">
        <v>0</v>
      </c>
      <c r="W71" s="405">
        <v>22</v>
      </c>
      <c r="X71" s="405"/>
      <c r="Y71" s="405"/>
      <c r="Z71" s="128">
        <v>7</v>
      </c>
      <c r="AA71" s="3"/>
      <c r="AB71" s="3"/>
      <c r="AC71" s="3"/>
      <c r="AE71" s="3"/>
      <c r="AG71" s="3"/>
      <c r="AM71" s="3"/>
    </row>
    <row r="72" spans="1:61" ht="33" customHeight="1" x14ac:dyDescent="0.25">
      <c r="A72" s="405" t="s">
        <v>18</v>
      </c>
      <c r="B72" s="459"/>
      <c r="C72" s="405">
        <v>-14</v>
      </c>
      <c r="D72" s="551">
        <f>Примерочная!$N$15*VLOOKUP(Таблица_брюки[[#This Row],[название]],Таблица_моды_брюки[],4,0)+Примерочная!$M$15*VLOOKUP(Таблица_брюки[[#This Row],[название]],Таблица_моды_брюки[],5,0)</f>
        <v>0</v>
      </c>
      <c r="E72" s="466">
        <v>25</v>
      </c>
      <c r="F72" s="552">
        <f>Таблица_брюки[[#This Row],[защита]]*(1+Примерочная!$J$15*VLOOKUP(Таблица_брюки[[#This Row],[название]],Таблица_моды_брюки[],2,0)+Примерочная!$O$15*VLOOKUP(Таблица_брюки[[#This Row],[название]],Таблица_моды_брюки[],3,0))-Таблица_брюки[[#This Row],[защита]]</f>
        <v>0</v>
      </c>
      <c r="G72" s="390">
        <v>15</v>
      </c>
      <c r="H72" s="361">
        <v>15</v>
      </c>
      <c r="I72" s="362">
        <v>6</v>
      </c>
      <c r="J72" s="551">
        <f>Примерочная!$O$15*VLOOKUP(Таблица_брюки[[#This Row],[название]],Таблица_моды_брюки[],6,0)</f>
        <v>0</v>
      </c>
      <c r="K72" s="467">
        <v>3</v>
      </c>
      <c r="L72" s="550">
        <f>Примерочная!$M$15*VLOOKUP(Таблица_брюки[[#This Row],[название]],Таблица_моды_брюки[],9,0)+Примерочная!$N$15*VLOOKUP(Таблица_брюки[[#This Row],[название]],Таблица_моды_брюки[],10,0)</f>
        <v>0</v>
      </c>
      <c r="M72" s="466">
        <v>3</v>
      </c>
      <c r="N72" s="549">
        <f>Примерочная!$L$15*VLOOKUP(Таблица_брюки[[#This Row],[название]],Таблица_моды_брюки[],11,0)</f>
        <v>0</v>
      </c>
      <c r="O72" s="468">
        <v>0</v>
      </c>
      <c r="P72" s="469">
        <v>0</v>
      </c>
      <c r="Q72" s="546">
        <f>Примерочная!$L$11*VLOOKUP(Таблица_брюки[[#This Row],[название]],Таблица_моды_брюки[],12,0)</f>
        <v>0</v>
      </c>
      <c r="R72" s="262">
        <f>0</f>
        <v>0</v>
      </c>
      <c r="S72" s="544">
        <f>Примерочная!$K$15*VLOOKUP(Таблица_брюки[[#This Row],[название]],Таблица_моды_брюки[],13,0)</f>
        <v>0</v>
      </c>
      <c r="T72" s="305">
        <v>0</v>
      </c>
      <c r="U72" s="542">
        <f>Примерочная!$K$15*VLOOKUP(Таблица_брюки[[#This Row],[название]],Таблица_моды_брюки[],14,0)</f>
        <v>0</v>
      </c>
      <c r="V72" s="467">
        <v>0</v>
      </c>
      <c r="W72" s="405">
        <v>27</v>
      </c>
      <c r="X72" s="405"/>
      <c r="Y72" s="405"/>
      <c r="Z72" s="128">
        <v>7</v>
      </c>
      <c r="AA72" s="3"/>
      <c r="AB72" s="3"/>
      <c r="AC72" s="3"/>
      <c r="AE72" s="3"/>
      <c r="AG72" s="3"/>
      <c r="AM72" s="3"/>
    </row>
    <row r="73" spans="1:61" ht="33" customHeight="1" x14ac:dyDescent="0.25">
      <c r="A73" s="405" t="s">
        <v>19</v>
      </c>
      <c r="B73" s="459"/>
      <c r="C73" s="405">
        <v>-16</v>
      </c>
      <c r="D73" s="551">
        <f>Примерочная!$N$15*VLOOKUP(Таблица_брюки[[#This Row],[название]],Таблица_моды_брюки[],4,0)+Примерочная!$M$15*VLOOKUP(Таблица_брюки[[#This Row],[название]],Таблица_моды_брюки[],5,0)</f>
        <v>0</v>
      </c>
      <c r="E73" s="466">
        <v>32</v>
      </c>
      <c r="F73" s="552">
        <f>Таблица_брюки[[#This Row],[защита]]*(1+Примерочная!$J$15*VLOOKUP(Таблица_брюки[[#This Row],[название]],Таблица_моды_брюки[],2,0)+Примерочная!$O$15*VLOOKUP(Таблица_брюки[[#This Row],[название]],Таблица_моды_брюки[],3,0))-Таблица_брюки[[#This Row],[защита]]</f>
        <v>0</v>
      </c>
      <c r="G73" s="390">
        <v>15</v>
      </c>
      <c r="H73" s="361">
        <v>15</v>
      </c>
      <c r="I73" s="362">
        <v>6</v>
      </c>
      <c r="J73" s="551">
        <f>Примерочная!$O$15*VLOOKUP(Таблица_брюки[[#This Row],[название]],Таблица_моды_брюки[],6,0)</f>
        <v>0</v>
      </c>
      <c r="K73" s="467">
        <v>3</v>
      </c>
      <c r="L73" s="550">
        <f>Примерочная!$M$15*VLOOKUP(Таблица_брюки[[#This Row],[название]],Таблица_моды_брюки[],9,0)+Примерочная!$N$15*VLOOKUP(Таблица_брюки[[#This Row],[название]],Таблица_моды_брюки[],10,0)</f>
        <v>0</v>
      </c>
      <c r="M73" s="466">
        <v>3</v>
      </c>
      <c r="N73" s="549">
        <f>Примерочная!$L$15*VLOOKUP(Таблица_брюки[[#This Row],[название]],Таблица_моды_брюки[],11,0)</f>
        <v>0</v>
      </c>
      <c r="O73" s="468">
        <v>0</v>
      </c>
      <c r="P73" s="469">
        <v>0</v>
      </c>
      <c r="Q73" s="546">
        <f>Примерочная!$L$11*VLOOKUP(Таблица_брюки[[#This Row],[название]],Таблица_моды_брюки[],12,0)</f>
        <v>0</v>
      </c>
      <c r="R73" s="262">
        <f>0</f>
        <v>0</v>
      </c>
      <c r="S73" s="544">
        <f>Примерочная!$K$15*VLOOKUP(Таблица_брюки[[#This Row],[название]],Таблица_моды_брюки[],13,0)</f>
        <v>0</v>
      </c>
      <c r="T73" s="305">
        <v>0</v>
      </c>
      <c r="U73" s="542">
        <f>Примерочная!$K$15*VLOOKUP(Таблица_брюки[[#This Row],[название]],Таблица_моды_брюки[],14,0)</f>
        <v>0</v>
      </c>
      <c r="V73" s="467">
        <v>0</v>
      </c>
      <c r="W73" s="405">
        <v>35</v>
      </c>
      <c r="X73" s="405"/>
      <c r="Y73" s="405"/>
      <c r="Z73" s="128">
        <v>7</v>
      </c>
      <c r="AA73" s="3"/>
      <c r="AB73" s="3"/>
      <c r="AC73" s="3"/>
      <c r="AE73" s="3"/>
      <c r="AG73" s="3"/>
      <c r="AM73" s="3"/>
    </row>
    <row r="74" spans="1:61" ht="33" customHeight="1" x14ac:dyDescent="0.25">
      <c r="A74" s="467"/>
      <c r="B74" s="128"/>
      <c r="C74" s="466"/>
      <c r="D74" s="551"/>
      <c r="E74" s="466"/>
      <c r="F74" s="552"/>
      <c r="G74" s="390"/>
      <c r="H74" s="361"/>
      <c r="I74" s="362"/>
      <c r="J74" s="551"/>
      <c r="K74" s="467"/>
      <c r="L74" s="550"/>
      <c r="M74" s="466"/>
      <c r="N74" s="549"/>
      <c r="O74" s="468"/>
      <c r="P74" s="469"/>
      <c r="Q74" s="546"/>
      <c r="R74" s="262"/>
      <c r="S74" s="544"/>
      <c r="T74" s="305"/>
      <c r="U74" s="542"/>
      <c r="V74" s="467"/>
      <c r="W74" s="405"/>
      <c r="X74" s="405"/>
      <c r="Y74" s="405"/>
      <c r="Z74" s="128"/>
      <c r="AA74" s="3"/>
      <c r="AB74" s="3"/>
      <c r="AC74" s="3"/>
      <c r="AE74" s="3"/>
      <c r="AG74" s="3"/>
      <c r="AK74" s="435"/>
    </row>
    <row r="75" spans="1:61" ht="33" customHeight="1" x14ac:dyDescent="0.25">
      <c r="A75" s="405" t="s">
        <v>21</v>
      </c>
      <c r="B75" s="459"/>
      <c r="C75" s="405">
        <v>4</v>
      </c>
      <c r="D75" s="551">
        <f>Примерочная!$N$15*VLOOKUP(Таблица_брюки[[#This Row],[название]],Таблица_моды_брюки[],4,0)+Примерочная!$M$15*VLOOKUP(Таблица_брюки[[#This Row],[название]],Таблица_моды_брюки[],5,0)</f>
        <v>0</v>
      </c>
      <c r="E75" s="466">
        <v>2</v>
      </c>
      <c r="F75" s="552">
        <f>Таблица_брюки[[#This Row],[защита]]*(1+Примерочная!$J$15*VLOOKUP(Таблица_брюки[[#This Row],[название]],Таблица_моды_брюки[],2,0)+Примерочная!$O$15*VLOOKUP(Таблица_брюки[[#This Row],[название]],Таблица_моды_брюки[],3,0))-Таблица_брюки[[#This Row],[защита]]</f>
        <v>0</v>
      </c>
      <c r="G75" s="390">
        <v>6</v>
      </c>
      <c r="H75" s="361">
        <v>12</v>
      </c>
      <c r="I75" s="362">
        <v>12</v>
      </c>
      <c r="J75" s="551">
        <f>Примерочная!$O$15*VLOOKUP(Таблица_брюки[[#This Row],[название]],Таблица_моды_брюки[],6,0)</f>
        <v>0</v>
      </c>
      <c r="K75" s="467">
        <v>8</v>
      </c>
      <c r="L75" s="550">
        <f>Примерочная!$M$15*VLOOKUP(Таблица_брюки[[#This Row],[название]],Таблица_моды_брюки[],9,0)+Примерочная!$N$15*VLOOKUP(Таблица_брюки[[#This Row],[название]],Таблица_моды_брюки[],10,0)</f>
        <v>0</v>
      </c>
      <c r="M75" s="466">
        <v>0</v>
      </c>
      <c r="N75" s="549">
        <f>Примерочная!$L$15*VLOOKUP(Таблица_брюки[[#This Row],[название]],Таблица_моды_брюки[],11,0)</f>
        <v>0</v>
      </c>
      <c r="O75" s="468">
        <v>0</v>
      </c>
      <c r="P75" s="469">
        <v>0</v>
      </c>
      <c r="Q75" s="546">
        <f>Примерочная!$L$11*VLOOKUP(Таблица_брюки[[#This Row],[название]],Таблица_моды_брюки[],12,0)</f>
        <v>0</v>
      </c>
      <c r="R75" s="262">
        <f>0</f>
        <v>0</v>
      </c>
      <c r="S75" s="544">
        <f>Примерочная!$K$15*VLOOKUP(Таблица_брюки[[#This Row],[название]],Таблица_моды_брюки[],13,0)</f>
        <v>0</v>
      </c>
      <c r="T75" s="305">
        <v>0</v>
      </c>
      <c r="U75" s="542">
        <f>Примерочная!$K$15*VLOOKUP(Таблица_брюки[[#This Row],[название]],Таблица_моды_брюки[],14,0)</f>
        <v>0</v>
      </c>
      <c r="V75" s="467">
        <v>0</v>
      </c>
      <c r="W75" s="405"/>
      <c r="X75" s="405">
        <v>1</v>
      </c>
      <c r="Y75" s="405"/>
      <c r="Z75" s="128">
        <v>7</v>
      </c>
      <c r="AA75" s="3"/>
      <c r="AB75" s="3"/>
      <c r="AC75" s="3"/>
      <c r="AE75" s="3"/>
      <c r="AG75" s="3"/>
    </row>
    <row r="76" spans="1:61" ht="33" customHeight="1" x14ac:dyDescent="0.25">
      <c r="A76" s="405" t="s">
        <v>22</v>
      </c>
      <c r="B76" s="459"/>
      <c r="C76" s="405">
        <v>3</v>
      </c>
      <c r="D76" s="551">
        <f>Примерочная!$N$15*VLOOKUP(Таблица_брюки[[#This Row],[название]],Таблица_моды_брюки[],4,0)+Примерочная!$M$15*VLOOKUP(Таблица_брюки[[#This Row],[название]],Таблица_моды_брюки[],5,0)</f>
        <v>0</v>
      </c>
      <c r="E76" s="466">
        <v>5</v>
      </c>
      <c r="F76" s="552">
        <f>Таблица_брюки[[#This Row],[защита]]*(1+Примерочная!$J$15*VLOOKUP(Таблица_брюки[[#This Row],[название]],Таблица_моды_брюки[],2,0)+Примерочная!$O$15*VLOOKUP(Таблица_брюки[[#This Row],[название]],Таблица_моды_брюки[],3,0))-Таблица_брюки[[#This Row],[защита]]</f>
        <v>0</v>
      </c>
      <c r="G76" s="390">
        <v>6</v>
      </c>
      <c r="H76" s="361">
        <v>12</v>
      </c>
      <c r="I76" s="362">
        <v>12</v>
      </c>
      <c r="J76" s="551">
        <f>Примерочная!$O$15*VLOOKUP(Таблица_брюки[[#This Row],[название]],Таблица_моды_брюки[],6,0)</f>
        <v>0</v>
      </c>
      <c r="K76" s="467">
        <v>8</v>
      </c>
      <c r="L76" s="550">
        <f>Примерочная!$M$15*VLOOKUP(Таблица_брюки[[#This Row],[название]],Таблица_моды_брюки[],9,0)+Примерочная!$N$15*VLOOKUP(Таблица_брюки[[#This Row],[название]],Таблица_моды_брюки[],10,0)</f>
        <v>0</v>
      </c>
      <c r="M76" s="466">
        <v>0</v>
      </c>
      <c r="N76" s="549">
        <f>Примерочная!$L$15*VLOOKUP(Таблица_брюки[[#This Row],[название]],Таблица_моды_брюки[],11,0)</f>
        <v>0</v>
      </c>
      <c r="O76" s="468">
        <v>0</v>
      </c>
      <c r="P76" s="469">
        <v>0</v>
      </c>
      <c r="Q76" s="546">
        <f>Примерочная!$L$11*VLOOKUP(Таблица_брюки[[#This Row],[название]],Таблица_моды_брюки[],12,0)</f>
        <v>0</v>
      </c>
      <c r="R76" s="262">
        <f>0</f>
        <v>0</v>
      </c>
      <c r="S76" s="544">
        <f>Примерочная!$K$15*VLOOKUP(Таблица_брюки[[#This Row],[название]],Таблица_моды_брюки[],13,0)</f>
        <v>0</v>
      </c>
      <c r="T76" s="305">
        <v>0</v>
      </c>
      <c r="U76" s="542">
        <f>Примерочная!$K$15*VLOOKUP(Таблица_брюки[[#This Row],[название]],Таблица_моды_брюки[],14,0)</f>
        <v>0</v>
      </c>
      <c r="V76" s="467">
        <v>0</v>
      </c>
      <c r="W76" s="405"/>
      <c r="X76" s="405">
        <v>5</v>
      </c>
      <c r="Y76" s="405"/>
      <c r="Z76" s="128">
        <v>7</v>
      </c>
      <c r="AA76" s="3"/>
      <c r="AB76" s="3"/>
      <c r="AC76" s="3"/>
      <c r="AE76" s="3"/>
      <c r="AG76" s="3"/>
    </row>
    <row r="77" spans="1:61" ht="33" customHeight="1" x14ac:dyDescent="0.25">
      <c r="A77" s="405" t="s">
        <v>23</v>
      </c>
      <c r="B77" s="459"/>
      <c r="C77" s="405">
        <v>2</v>
      </c>
      <c r="D77" s="551">
        <f>Примерочная!$N$15*VLOOKUP(Таблица_брюки[[#This Row],[название]],Таблица_моды_брюки[],4,0)+Примерочная!$M$15*VLOOKUP(Таблица_брюки[[#This Row],[название]],Таблица_моды_брюки[],5,0)</f>
        <v>0</v>
      </c>
      <c r="E77" s="466">
        <v>7</v>
      </c>
      <c r="F77" s="552">
        <f>Таблица_брюки[[#This Row],[защита]]*(1+Примерочная!$J$15*VLOOKUP(Таблица_брюки[[#This Row],[название]],Таблица_моды_брюки[],2,0)+Примерочная!$O$15*VLOOKUP(Таблица_брюки[[#This Row],[название]],Таблица_моды_брюки[],3,0))-Таблица_брюки[[#This Row],[защита]]</f>
        <v>0</v>
      </c>
      <c r="G77" s="390">
        <v>6</v>
      </c>
      <c r="H77" s="361">
        <v>12</v>
      </c>
      <c r="I77" s="362">
        <v>12</v>
      </c>
      <c r="J77" s="551">
        <f>Примерочная!$O$15*VLOOKUP(Таблица_брюки[[#This Row],[название]],Таблица_моды_брюки[],6,0)</f>
        <v>0</v>
      </c>
      <c r="K77" s="467">
        <v>8</v>
      </c>
      <c r="L77" s="550">
        <f>Примерочная!$M$15*VLOOKUP(Таблица_брюки[[#This Row],[название]],Таблица_моды_брюки[],9,0)+Примерочная!$N$15*VLOOKUP(Таблица_брюки[[#This Row],[название]],Таблица_моды_брюки[],10,0)</f>
        <v>0</v>
      </c>
      <c r="M77" s="466">
        <v>0</v>
      </c>
      <c r="N77" s="549">
        <f>Примерочная!$L$15*VLOOKUP(Таблица_брюки[[#This Row],[название]],Таблица_моды_брюки[],11,0)</f>
        <v>0</v>
      </c>
      <c r="O77" s="468">
        <v>0</v>
      </c>
      <c r="P77" s="469">
        <v>0</v>
      </c>
      <c r="Q77" s="546">
        <f>Примерочная!$L$11*VLOOKUP(Таблица_брюки[[#This Row],[название]],Таблица_моды_брюки[],12,0)</f>
        <v>0</v>
      </c>
      <c r="R77" s="262">
        <f>0</f>
        <v>0</v>
      </c>
      <c r="S77" s="544">
        <f>Примерочная!$K$15*VLOOKUP(Таблица_брюки[[#This Row],[название]],Таблица_моды_брюки[],13,0)</f>
        <v>0</v>
      </c>
      <c r="T77" s="305">
        <v>0</v>
      </c>
      <c r="U77" s="542">
        <f>Примерочная!$K$15*VLOOKUP(Таблица_брюки[[#This Row],[название]],Таблица_моды_брюки[],14,0)</f>
        <v>0</v>
      </c>
      <c r="V77" s="467">
        <v>0</v>
      </c>
      <c r="W77" s="405"/>
      <c r="X77" s="405">
        <v>10</v>
      </c>
      <c r="Y77" s="405"/>
      <c r="Z77" s="128">
        <v>7</v>
      </c>
      <c r="AA77" s="3"/>
      <c r="AB77" s="3"/>
      <c r="AC77" s="3"/>
      <c r="AE77" s="3"/>
      <c r="AG77" s="3"/>
      <c r="AI77" s="352"/>
      <c r="AJ77" s="352"/>
      <c r="AL77" s="352"/>
      <c r="AM77" s="3"/>
    </row>
    <row r="78" spans="1:61" ht="33" customHeight="1" x14ac:dyDescent="0.25">
      <c r="A78" s="405" t="s">
        <v>24</v>
      </c>
      <c r="B78" s="459"/>
      <c r="C78" s="405">
        <v>1</v>
      </c>
      <c r="D78" s="551">
        <f>Примерочная!$N$15*VLOOKUP(Таблица_брюки[[#This Row],[название]],Таблица_моды_брюки[],4,0)+Примерочная!$M$15*VLOOKUP(Таблица_брюки[[#This Row],[название]],Таблица_моды_брюки[],5,0)</f>
        <v>0</v>
      </c>
      <c r="E78" s="466">
        <v>10</v>
      </c>
      <c r="F78" s="552">
        <f>Таблица_брюки[[#This Row],[защита]]*(1+Примерочная!$J$15*VLOOKUP(Таблица_брюки[[#This Row],[название]],Таблица_моды_брюки[],2,0)+Примерочная!$O$15*VLOOKUP(Таблица_брюки[[#This Row],[название]],Таблица_моды_брюки[],3,0))-Таблица_брюки[[#This Row],[защита]]</f>
        <v>0</v>
      </c>
      <c r="G78" s="390">
        <v>6</v>
      </c>
      <c r="H78" s="361">
        <v>12</v>
      </c>
      <c r="I78" s="362">
        <v>12</v>
      </c>
      <c r="J78" s="551">
        <f>Примерочная!$O$15*VLOOKUP(Таблица_брюки[[#This Row],[название]],Таблица_моды_брюки[],6,0)</f>
        <v>0</v>
      </c>
      <c r="K78" s="467">
        <v>8</v>
      </c>
      <c r="L78" s="550">
        <f>Примерочная!$M$15*VLOOKUP(Таблица_брюки[[#This Row],[название]],Таблица_моды_брюки[],9,0)+Примерочная!$N$15*VLOOKUP(Таблица_брюки[[#This Row],[название]],Таблица_моды_брюки[],10,0)</f>
        <v>0</v>
      </c>
      <c r="M78" s="466">
        <v>0</v>
      </c>
      <c r="N78" s="549">
        <f>Примерочная!$L$15*VLOOKUP(Таблица_брюки[[#This Row],[название]],Таблица_моды_брюки[],11,0)</f>
        <v>0</v>
      </c>
      <c r="O78" s="468">
        <v>0</v>
      </c>
      <c r="P78" s="469">
        <v>0</v>
      </c>
      <c r="Q78" s="546">
        <f>Примерочная!$L$11*VLOOKUP(Таблица_брюки[[#This Row],[название]],Таблица_моды_брюки[],12,0)</f>
        <v>0</v>
      </c>
      <c r="R78" s="262">
        <f>0</f>
        <v>0</v>
      </c>
      <c r="S78" s="544">
        <f>Примерочная!$K$15*VLOOKUP(Таблица_брюки[[#This Row],[название]],Таблица_моды_брюки[],13,0)</f>
        <v>0</v>
      </c>
      <c r="T78" s="305">
        <v>0</v>
      </c>
      <c r="U78" s="542">
        <f>Примерочная!$K$15*VLOOKUP(Таблица_брюки[[#This Row],[название]],Таблица_моды_брюки[],14,0)</f>
        <v>0</v>
      </c>
      <c r="V78" s="467">
        <v>0</v>
      </c>
      <c r="W78" s="405"/>
      <c r="X78" s="405">
        <v>14</v>
      </c>
      <c r="Y78" s="405"/>
      <c r="Z78" s="128">
        <v>7</v>
      </c>
      <c r="AA78" s="3"/>
      <c r="AB78" s="3"/>
      <c r="AC78" s="3"/>
      <c r="AE78" s="3"/>
      <c r="AG78" s="3"/>
      <c r="AM78" s="3"/>
    </row>
    <row r="79" spans="1:61" ht="33" customHeight="1" x14ac:dyDescent="0.25">
      <c r="A79" s="405" t="s">
        <v>25</v>
      </c>
      <c r="B79" s="459"/>
      <c r="C79" s="405">
        <v>0</v>
      </c>
      <c r="D79" s="551">
        <f>Примерочная!$N$15*VLOOKUP(Таблица_брюки[[#This Row],[название]],Таблица_моды_брюки[],4,0)+Примерочная!$M$15*VLOOKUP(Таблица_брюки[[#This Row],[название]],Таблица_моды_брюки[],5,0)</f>
        <v>0</v>
      </c>
      <c r="E79" s="466">
        <v>13</v>
      </c>
      <c r="F79" s="552">
        <f>Таблица_брюки[[#This Row],[защита]]*(1+Примерочная!$J$15*VLOOKUP(Таблица_брюки[[#This Row],[название]],Таблица_моды_брюки[],2,0)+Примерочная!$O$15*VLOOKUP(Таблица_брюки[[#This Row],[название]],Таблица_моды_брюки[],3,0))-Таблица_брюки[[#This Row],[защита]]</f>
        <v>0</v>
      </c>
      <c r="G79" s="390">
        <v>6</v>
      </c>
      <c r="H79" s="361">
        <v>12</v>
      </c>
      <c r="I79" s="362">
        <v>12</v>
      </c>
      <c r="J79" s="551">
        <f>Примерочная!$O$15*VLOOKUP(Таблица_брюки[[#This Row],[название]],Таблица_моды_брюки[],6,0)</f>
        <v>0</v>
      </c>
      <c r="K79" s="467">
        <v>8</v>
      </c>
      <c r="L79" s="550">
        <f>Примерочная!$M$15*VLOOKUP(Таблица_брюки[[#This Row],[название]],Таблица_моды_брюки[],9,0)+Примерочная!$N$15*VLOOKUP(Таблица_брюки[[#This Row],[название]],Таблица_моды_брюки[],10,0)</f>
        <v>0</v>
      </c>
      <c r="M79" s="466">
        <v>0</v>
      </c>
      <c r="N79" s="549">
        <f>Примерочная!$L$15*VLOOKUP(Таблица_брюки[[#This Row],[название]],Таблица_моды_брюки[],11,0)</f>
        <v>0</v>
      </c>
      <c r="O79" s="468">
        <v>0</v>
      </c>
      <c r="P79" s="469">
        <v>0</v>
      </c>
      <c r="Q79" s="546">
        <f>Примерочная!$L$11*VLOOKUP(Таблица_брюки[[#This Row],[название]],Таблица_моды_брюки[],12,0)</f>
        <v>0</v>
      </c>
      <c r="R79" s="262">
        <f>0</f>
        <v>0</v>
      </c>
      <c r="S79" s="544">
        <f>Примерочная!$K$15*VLOOKUP(Таблица_брюки[[#This Row],[название]],Таблица_моды_брюки[],13,0)</f>
        <v>0</v>
      </c>
      <c r="T79" s="305">
        <v>0</v>
      </c>
      <c r="U79" s="542">
        <f>Примерочная!$K$15*VLOOKUP(Таблица_брюки[[#This Row],[название]],Таблица_моды_брюки[],14,0)</f>
        <v>0</v>
      </c>
      <c r="V79" s="467">
        <v>0</v>
      </c>
      <c r="W79" s="405"/>
      <c r="X79" s="405">
        <v>18</v>
      </c>
      <c r="Y79" s="405"/>
      <c r="Z79" s="128">
        <v>7</v>
      </c>
      <c r="AA79" s="3"/>
      <c r="AB79" s="3"/>
      <c r="AC79" s="3"/>
      <c r="AE79" s="3"/>
      <c r="AG79" s="3"/>
      <c r="AM79" s="3"/>
    </row>
    <row r="80" spans="1:61" ht="33" customHeight="1" x14ac:dyDescent="0.25">
      <c r="A80" s="405" t="s">
        <v>26</v>
      </c>
      <c r="B80" s="459"/>
      <c r="C80" s="405">
        <v>0</v>
      </c>
      <c r="D80" s="551">
        <f>Примерочная!$N$15*VLOOKUP(Таблица_брюки[[#This Row],[название]],Таблица_моды_брюки[],4,0)+Примерочная!$M$15*VLOOKUP(Таблица_брюки[[#This Row],[название]],Таблица_моды_брюки[],5,0)</f>
        <v>0</v>
      </c>
      <c r="E80" s="466">
        <v>18</v>
      </c>
      <c r="F80" s="552">
        <f>Таблица_брюки[[#This Row],[защита]]*(1+Примерочная!$J$15*VLOOKUP(Таблица_брюки[[#This Row],[название]],Таблица_моды_брюки[],2,0)+Примерочная!$O$15*VLOOKUP(Таблица_брюки[[#This Row],[название]],Таблица_моды_брюки[],3,0))-Таблица_брюки[[#This Row],[защита]]</f>
        <v>0</v>
      </c>
      <c r="G80" s="390">
        <v>6</v>
      </c>
      <c r="H80" s="361">
        <v>12</v>
      </c>
      <c r="I80" s="362">
        <v>12</v>
      </c>
      <c r="J80" s="551">
        <f>Примерочная!$O$15*VLOOKUP(Таблица_брюки[[#This Row],[название]],Таблица_моды_брюки[],6,0)</f>
        <v>0</v>
      </c>
      <c r="K80" s="467">
        <v>8</v>
      </c>
      <c r="L80" s="550">
        <f>Примерочная!$M$15*VLOOKUP(Таблица_брюки[[#This Row],[название]],Таблица_моды_брюки[],9,0)+Примерочная!$N$15*VLOOKUP(Таблица_брюки[[#This Row],[название]],Таблица_моды_брюки[],10,0)</f>
        <v>0</v>
      </c>
      <c r="M80" s="466">
        <v>0</v>
      </c>
      <c r="N80" s="549">
        <f>Примерочная!$L$15*VLOOKUP(Таблица_брюки[[#This Row],[название]],Таблица_моды_брюки[],11,0)</f>
        <v>0</v>
      </c>
      <c r="O80" s="468">
        <v>0</v>
      </c>
      <c r="P80" s="469">
        <v>0</v>
      </c>
      <c r="Q80" s="546">
        <f>Примерочная!$L$11*VLOOKUP(Таблица_брюки[[#This Row],[название]],Таблица_моды_брюки[],12,0)</f>
        <v>0</v>
      </c>
      <c r="R80" s="262">
        <f>0</f>
        <v>0</v>
      </c>
      <c r="S80" s="544">
        <f>Примерочная!$K$15*VLOOKUP(Таблица_брюки[[#This Row],[название]],Таблица_моды_брюки[],13,0)</f>
        <v>0</v>
      </c>
      <c r="T80" s="305">
        <v>0</v>
      </c>
      <c r="U80" s="542">
        <f>Примерочная!$K$15*VLOOKUP(Таблица_брюки[[#This Row],[название]],Таблица_моды_брюки[],14,0)</f>
        <v>0</v>
      </c>
      <c r="V80" s="467">
        <v>0</v>
      </c>
      <c r="W80" s="405"/>
      <c r="X80" s="405">
        <v>22</v>
      </c>
      <c r="Y80" s="405"/>
      <c r="Z80" s="128">
        <v>7</v>
      </c>
      <c r="AA80" s="3"/>
      <c r="AB80" s="3"/>
      <c r="AC80" s="3"/>
      <c r="AE80" s="3"/>
      <c r="AG80" s="3"/>
    </row>
    <row r="81" spans="1:41" ht="33" customHeight="1" x14ac:dyDescent="0.25">
      <c r="A81" s="405" t="s">
        <v>27</v>
      </c>
      <c r="B81" s="459"/>
      <c r="C81" s="405">
        <v>0</v>
      </c>
      <c r="D81" s="551">
        <f>Примерочная!$N$15*VLOOKUP(Таблица_брюки[[#This Row],[название]],Таблица_моды_брюки[],4,0)+Примерочная!$M$15*VLOOKUP(Таблица_брюки[[#This Row],[название]],Таблица_моды_брюки[],5,0)</f>
        <v>0</v>
      </c>
      <c r="E81" s="466">
        <v>23</v>
      </c>
      <c r="F81" s="552">
        <f>Таблица_брюки[[#This Row],[защита]]*(1+Примерочная!$J$15*VLOOKUP(Таблица_брюки[[#This Row],[название]],Таблица_моды_брюки[],2,0)+Примерочная!$O$15*VLOOKUP(Таблица_брюки[[#This Row],[название]],Таблица_моды_брюки[],3,0))-Таблица_брюки[[#This Row],[защита]]</f>
        <v>0</v>
      </c>
      <c r="G81" s="390">
        <v>6</v>
      </c>
      <c r="H81" s="361">
        <v>12</v>
      </c>
      <c r="I81" s="362">
        <v>12</v>
      </c>
      <c r="J81" s="551">
        <f>Примерочная!$O$15*VLOOKUP(Таблица_брюки[[#This Row],[название]],Таблица_моды_брюки[],6,0)</f>
        <v>0</v>
      </c>
      <c r="K81" s="467">
        <v>8</v>
      </c>
      <c r="L81" s="550">
        <f>Примерочная!$M$15*VLOOKUP(Таблица_брюки[[#This Row],[название]],Таблица_моды_брюки[],9,0)+Примерочная!$N$15*VLOOKUP(Таблица_брюки[[#This Row],[название]],Таблица_моды_брюки[],10,0)</f>
        <v>0</v>
      </c>
      <c r="M81" s="466">
        <v>0</v>
      </c>
      <c r="N81" s="549">
        <f>Примерочная!$L$15*VLOOKUP(Таблица_брюки[[#This Row],[название]],Таблица_моды_брюки[],11,0)</f>
        <v>0</v>
      </c>
      <c r="O81" s="468">
        <v>0</v>
      </c>
      <c r="P81" s="469">
        <v>0</v>
      </c>
      <c r="Q81" s="546">
        <f>Примерочная!$L$11*VLOOKUP(Таблица_брюки[[#This Row],[название]],Таблица_моды_брюки[],12,0)</f>
        <v>0</v>
      </c>
      <c r="R81" s="262">
        <f>0</f>
        <v>0</v>
      </c>
      <c r="S81" s="544">
        <f>Примерочная!$K$15*VLOOKUP(Таблица_брюки[[#This Row],[название]],Таблица_моды_брюки[],13,0)</f>
        <v>0</v>
      </c>
      <c r="T81" s="305">
        <v>0</v>
      </c>
      <c r="U81" s="542">
        <f>Примерочная!$K$15*VLOOKUP(Таблица_брюки[[#This Row],[название]],Таблица_моды_брюки[],14,0)</f>
        <v>0</v>
      </c>
      <c r="V81" s="467">
        <v>0</v>
      </c>
      <c r="W81" s="405"/>
      <c r="X81" s="405">
        <v>27</v>
      </c>
      <c r="Y81" s="405"/>
      <c r="Z81" s="128">
        <v>7</v>
      </c>
      <c r="AA81" s="3"/>
      <c r="AB81" s="3"/>
      <c r="AC81" s="3"/>
      <c r="AE81" s="3"/>
      <c r="AG81" s="3"/>
      <c r="AO81" s="3"/>
    </row>
    <row r="82" spans="1:41" ht="33" customHeight="1" x14ac:dyDescent="0.25">
      <c r="A82" s="405" t="s">
        <v>28</v>
      </c>
      <c r="B82" s="459"/>
      <c r="C82" s="405">
        <v>-1</v>
      </c>
      <c r="D82" s="551">
        <f>Примерочная!$N$15*VLOOKUP(Таблица_брюки[[#This Row],[название]],Таблица_моды_брюки[],4,0)+Примерочная!$M$15*VLOOKUP(Таблица_брюки[[#This Row],[название]],Таблица_моды_брюки[],5,0)</f>
        <v>0</v>
      </c>
      <c r="E82" s="466">
        <v>27</v>
      </c>
      <c r="F82" s="552">
        <f>Таблица_брюки[[#This Row],[защита]]*(1+Примерочная!$J$15*VLOOKUP(Таблица_брюки[[#This Row],[название]],Таблица_моды_брюки[],2,0)+Примерочная!$O$15*VLOOKUP(Таблица_брюки[[#This Row],[название]],Таблица_моды_брюки[],3,0))-Таблица_брюки[[#This Row],[защита]]</f>
        <v>0</v>
      </c>
      <c r="G82" s="390">
        <v>6</v>
      </c>
      <c r="H82" s="361">
        <v>12</v>
      </c>
      <c r="I82" s="362">
        <v>12</v>
      </c>
      <c r="J82" s="551">
        <f>Примерочная!$O$15*VLOOKUP(Таблица_брюки[[#This Row],[название]],Таблица_моды_брюки[],6,0)</f>
        <v>0</v>
      </c>
      <c r="K82" s="467">
        <v>8</v>
      </c>
      <c r="L82" s="550">
        <f>Примерочная!$M$15*VLOOKUP(Таблица_брюки[[#This Row],[название]],Таблица_моды_брюки[],9,0)+Примерочная!$N$15*VLOOKUP(Таблица_брюки[[#This Row],[название]],Таблица_моды_брюки[],10,0)</f>
        <v>0</v>
      </c>
      <c r="M82" s="466">
        <v>0</v>
      </c>
      <c r="N82" s="549">
        <f>Примерочная!$L$15*VLOOKUP(Таблица_брюки[[#This Row],[название]],Таблица_моды_брюки[],11,0)</f>
        <v>0</v>
      </c>
      <c r="O82" s="468">
        <v>0</v>
      </c>
      <c r="P82" s="469">
        <v>0</v>
      </c>
      <c r="Q82" s="546">
        <f>Примерочная!$L$11*VLOOKUP(Таблица_брюки[[#This Row],[название]],Таблица_моды_брюки[],12,0)</f>
        <v>0</v>
      </c>
      <c r="R82" s="262">
        <f>0</f>
        <v>0</v>
      </c>
      <c r="S82" s="544">
        <f>Примерочная!$K$15*VLOOKUP(Таблица_брюки[[#This Row],[название]],Таблица_моды_брюки[],13,0)</f>
        <v>0</v>
      </c>
      <c r="T82" s="305">
        <v>0</v>
      </c>
      <c r="U82" s="542">
        <f>Примерочная!$K$15*VLOOKUP(Таблица_брюки[[#This Row],[название]],Таблица_моды_брюки[],14,0)</f>
        <v>0</v>
      </c>
      <c r="V82" s="467">
        <v>0</v>
      </c>
      <c r="W82" s="405"/>
      <c r="X82" s="405">
        <v>35</v>
      </c>
      <c r="Y82" s="405"/>
      <c r="Z82" s="128">
        <v>7</v>
      </c>
      <c r="AA82" s="3"/>
      <c r="AB82" s="3"/>
      <c r="AC82" s="3"/>
      <c r="AE82" s="3"/>
      <c r="AG82" s="3"/>
      <c r="AO82" s="3"/>
    </row>
    <row r="83" spans="1:41" ht="33" customHeight="1" x14ac:dyDescent="0.25">
      <c r="A83" s="467"/>
      <c r="B83" s="128"/>
      <c r="C83" s="466"/>
      <c r="D83" s="551"/>
      <c r="E83" s="466"/>
      <c r="F83" s="552"/>
      <c r="G83" s="390"/>
      <c r="H83" s="361"/>
      <c r="I83" s="362"/>
      <c r="J83" s="551"/>
      <c r="K83" s="467"/>
      <c r="L83" s="550"/>
      <c r="M83" s="466"/>
      <c r="N83" s="549"/>
      <c r="O83" s="468"/>
      <c r="P83" s="469"/>
      <c r="Q83" s="546"/>
      <c r="R83" s="262"/>
      <c r="S83" s="544"/>
      <c r="T83" s="305"/>
      <c r="U83" s="542"/>
      <c r="V83" s="467"/>
      <c r="W83" s="405"/>
      <c r="X83" s="405"/>
      <c r="Y83" s="405"/>
      <c r="Z83" s="128"/>
      <c r="AA83" s="3"/>
      <c r="AB83" s="3"/>
      <c r="AC83" s="3"/>
      <c r="AE83" s="3"/>
      <c r="AG83" s="3"/>
      <c r="AO83" s="3"/>
    </row>
    <row r="84" spans="1:41" ht="33" customHeight="1" x14ac:dyDescent="0.25">
      <c r="A84" s="405" t="s">
        <v>37</v>
      </c>
      <c r="B84" s="459"/>
      <c r="C84" s="405">
        <v>-4</v>
      </c>
      <c r="D84" s="551">
        <f>Примерочная!$N$15*VLOOKUP(Таблица_брюки[[#This Row],[название]],Таблица_моды_брюки[],4,0)+Примерочная!$M$15*VLOOKUP(Таблица_брюки[[#This Row],[название]],Таблица_моды_брюки[],5,0)</f>
        <v>0</v>
      </c>
      <c r="E84" s="466">
        <v>6</v>
      </c>
      <c r="F84" s="552">
        <f>Таблица_брюки[[#This Row],[защита]]*(1+Примерочная!$J$15*VLOOKUP(Таблица_брюки[[#This Row],[название]],Таблица_моды_брюки[],2,0)+Примерочная!$O$15*VLOOKUP(Таблица_брюки[[#This Row],[название]],Таблица_моды_брюки[],3,0))-Таблица_брюки[[#This Row],[защита]]</f>
        <v>0</v>
      </c>
      <c r="G84" s="390">
        <v>21</v>
      </c>
      <c r="H84" s="361">
        <v>6</v>
      </c>
      <c r="I84" s="362">
        <v>18</v>
      </c>
      <c r="J84" s="551">
        <f>Примерочная!$O$15*VLOOKUP(Таблица_брюки[[#This Row],[название]],Таблица_моды_брюки[],6,0)</f>
        <v>0</v>
      </c>
      <c r="K84" s="467">
        <v>0</v>
      </c>
      <c r="L84" s="550">
        <f>Примерочная!$M$15*VLOOKUP(Таблица_брюки[[#This Row],[название]],Таблица_моды_брюки[],9,0)+Примерочная!$N$15*VLOOKUP(Таблица_брюки[[#This Row],[название]],Таблица_моды_брюки[],10,0)</f>
        <v>0</v>
      </c>
      <c r="M84" s="466">
        <v>5</v>
      </c>
      <c r="N84" s="549">
        <f>Примерочная!$L$15*VLOOKUP(Таблица_брюки[[#This Row],[название]],Таблица_моды_брюки[],11,0)</f>
        <v>0</v>
      </c>
      <c r="O84" s="468">
        <v>0.04</v>
      </c>
      <c r="P84" s="469">
        <v>0</v>
      </c>
      <c r="Q84" s="546">
        <f>Примерочная!$L$11*VLOOKUP(Таблица_брюки[[#This Row],[название]],Таблица_моды_брюки[],12,0)</f>
        <v>0</v>
      </c>
      <c r="R84" s="262">
        <f>0</f>
        <v>0</v>
      </c>
      <c r="S84" s="544">
        <f>Примерочная!$K$15*VLOOKUP(Таблица_брюки[[#This Row],[название]],Таблица_моды_брюки[],13,0)</f>
        <v>0</v>
      </c>
      <c r="T84" s="305">
        <v>0</v>
      </c>
      <c r="U84" s="542">
        <f>Примерочная!$K$15*VLOOKUP(Таблица_брюки[[#This Row],[название]],Таблица_моды_брюки[],14,0)</f>
        <v>0</v>
      </c>
      <c r="V84" s="467">
        <v>0</v>
      </c>
      <c r="W84" s="405"/>
      <c r="X84" s="405"/>
      <c r="Y84" s="405">
        <v>1</v>
      </c>
      <c r="Z84" s="128">
        <v>7</v>
      </c>
      <c r="AA84" s="3"/>
      <c r="AB84" s="3"/>
      <c r="AC84" s="3"/>
      <c r="AE84" s="3"/>
      <c r="AG84" s="3"/>
      <c r="AO84" s="3"/>
    </row>
    <row r="85" spans="1:41" ht="33" customHeight="1" x14ac:dyDescent="0.25">
      <c r="A85" s="405" t="s">
        <v>38</v>
      </c>
      <c r="B85" s="459"/>
      <c r="C85" s="405">
        <v>-6</v>
      </c>
      <c r="D85" s="551">
        <f>Примерочная!$N$15*VLOOKUP(Таблица_брюки[[#This Row],[название]],Таблица_моды_брюки[],4,0)+Примерочная!$M$15*VLOOKUP(Таблица_брюки[[#This Row],[название]],Таблица_моды_брюки[],5,0)</f>
        <v>0</v>
      </c>
      <c r="E85" s="466">
        <v>11</v>
      </c>
      <c r="F85" s="552">
        <f>Таблица_брюки[[#This Row],[защита]]*(1+Примерочная!$J$15*VLOOKUP(Таблица_брюки[[#This Row],[название]],Таблица_моды_брюки[],2,0)+Примерочная!$O$15*VLOOKUP(Таблица_брюки[[#This Row],[название]],Таблица_моды_брюки[],3,0))-Таблица_брюки[[#This Row],[защита]]</f>
        <v>0</v>
      </c>
      <c r="G85" s="390">
        <v>21</v>
      </c>
      <c r="H85" s="361">
        <v>6</v>
      </c>
      <c r="I85" s="362">
        <v>18</v>
      </c>
      <c r="J85" s="551">
        <f>Примерочная!$O$15*VLOOKUP(Таблица_брюки[[#This Row],[название]],Таблица_моды_брюки[],6,0)</f>
        <v>0</v>
      </c>
      <c r="K85" s="467">
        <v>0</v>
      </c>
      <c r="L85" s="550">
        <f>Примерочная!$M$15*VLOOKUP(Таблица_брюки[[#This Row],[название]],Таблица_моды_брюки[],9,0)+Примерочная!$N$15*VLOOKUP(Таблица_брюки[[#This Row],[название]],Таблица_моды_брюки[],10,0)</f>
        <v>0</v>
      </c>
      <c r="M85" s="466">
        <v>5</v>
      </c>
      <c r="N85" s="549">
        <f>Примерочная!$L$15*VLOOKUP(Таблица_брюки[[#This Row],[название]],Таблица_моды_брюки[],11,0)</f>
        <v>0</v>
      </c>
      <c r="O85" s="468">
        <v>0.04</v>
      </c>
      <c r="P85" s="469">
        <v>0</v>
      </c>
      <c r="Q85" s="546">
        <f>Примерочная!$L$11*VLOOKUP(Таблица_брюки[[#This Row],[название]],Таблица_моды_брюки[],12,0)</f>
        <v>0</v>
      </c>
      <c r="R85" s="262">
        <f>0</f>
        <v>0</v>
      </c>
      <c r="S85" s="544">
        <f>Примерочная!$K$15*VLOOKUP(Таблица_брюки[[#This Row],[название]],Таблица_моды_брюки[],13,0)</f>
        <v>0</v>
      </c>
      <c r="T85" s="305">
        <v>0</v>
      </c>
      <c r="U85" s="542">
        <f>Примерочная!$K$15*VLOOKUP(Таблица_брюки[[#This Row],[название]],Таблица_моды_брюки[],14,0)</f>
        <v>0</v>
      </c>
      <c r="V85" s="467">
        <v>0</v>
      </c>
      <c r="W85" s="405"/>
      <c r="X85" s="405"/>
      <c r="Y85" s="405">
        <v>5</v>
      </c>
      <c r="Z85" s="128">
        <v>7</v>
      </c>
      <c r="AA85" s="3"/>
      <c r="AB85" s="3"/>
      <c r="AC85" s="3"/>
      <c r="AE85" s="3"/>
      <c r="AG85" s="3"/>
      <c r="AO85" s="3"/>
    </row>
    <row r="86" spans="1:41" ht="33" customHeight="1" x14ac:dyDescent="0.25">
      <c r="A86" s="405" t="s">
        <v>39</v>
      </c>
      <c r="B86" s="459"/>
      <c r="C86" s="405">
        <v>-9</v>
      </c>
      <c r="D86" s="551">
        <f>Примерочная!$N$15*VLOOKUP(Таблица_брюки[[#This Row],[название]],Таблица_моды_брюки[],4,0)+Примерочная!$M$15*VLOOKUP(Таблица_брюки[[#This Row],[название]],Таблица_моды_брюки[],5,0)</f>
        <v>0</v>
      </c>
      <c r="E86" s="466">
        <v>14</v>
      </c>
      <c r="F86" s="552">
        <f>Таблица_брюки[[#This Row],[защита]]*(1+Примерочная!$J$15*VLOOKUP(Таблица_брюки[[#This Row],[название]],Таблица_моды_брюки[],2,0)+Примерочная!$O$15*VLOOKUP(Таблица_брюки[[#This Row],[название]],Таблица_моды_брюки[],3,0))-Таблица_брюки[[#This Row],[защита]]</f>
        <v>0</v>
      </c>
      <c r="G86" s="390">
        <v>21</v>
      </c>
      <c r="H86" s="361">
        <v>6</v>
      </c>
      <c r="I86" s="362">
        <v>18</v>
      </c>
      <c r="J86" s="551">
        <f>Примерочная!$O$15*VLOOKUP(Таблица_брюки[[#This Row],[название]],Таблица_моды_брюки[],6,0)</f>
        <v>0</v>
      </c>
      <c r="K86" s="467">
        <v>0</v>
      </c>
      <c r="L86" s="550">
        <f>Примерочная!$M$15*VLOOKUP(Таблица_брюки[[#This Row],[название]],Таблица_моды_брюки[],9,0)+Примерочная!$N$15*VLOOKUP(Таблица_брюки[[#This Row],[название]],Таблица_моды_брюки[],10,0)</f>
        <v>0</v>
      </c>
      <c r="M86" s="466">
        <v>5</v>
      </c>
      <c r="N86" s="549">
        <f>Примерочная!$L$15*VLOOKUP(Таблица_брюки[[#This Row],[название]],Таблица_моды_брюки[],11,0)</f>
        <v>0</v>
      </c>
      <c r="O86" s="468">
        <v>0.05</v>
      </c>
      <c r="P86" s="469">
        <v>0</v>
      </c>
      <c r="Q86" s="546">
        <f>Примерочная!$L$11*VLOOKUP(Таблица_брюки[[#This Row],[название]],Таблица_моды_брюки[],12,0)</f>
        <v>0</v>
      </c>
      <c r="R86" s="262">
        <f>0</f>
        <v>0</v>
      </c>
      <c r="S86" s="544">
        <f>Примерочная!$K$15*VLOOKUP(Таблица_брюки[[#This Row],[название]],Таблица_моды_брюки[],13,0)</f>
        <v>0</v>
      </c>
      <c r="T86" s="305">
        <v>0</v>
      </c>
      <c r="U86" s="542">
        <f>Примерочная!$K$15*VLOOKUP(Таблица_брюки[[#This Row],[название]],Таблица_моды_брюки[],14,0)</f>
        <v>0</v>
      </c>
      <c r="V86" s="467">
        <v>0</v>
      </c>
      <c r="W86" s="405"/>
      <c r="X86" s="405"/>
      <c r="Y86" s="405">
        <v>10</v>
      </c>
      <c r="Z86" s="128">
        <v>7</v>
      </c>
      <c r="AA86" s="3"/>
      <c r="AB86" s="3"/>
      <c r="AC86" s="3"/>
      <c r="AE86" s="3"/>
      <c r="AG86" s="3"/>
    </row>
    <row r="87" spans="1:41" ht="33" customHeight="1" x14ac:dyDescent="0.25">
      <c r="A87" s="405" t="s">
        <v>40</v>
      </c>
      <c r="B87" s="459"/>
      <c r="C87" s="405">
        <v>-12</v>
      </c>
      <c r="D87" s="551">
        <f>Примерочная!$N$15*VLOOKUP(Таблица_брюки[[#This Row],[название]],Таблица_моды_брюки[],4,0)+Примерочная!$M$15*VLOOKUP(Таблица_брюки[[#This Row],[название]],Таблица_моды_брюки[],5,0)</f>
        <v>0</v>
      </c>
      <c r="E87" s="466">
        <v>17</v>
      </c>
      <c r="F87" s="552">
        <f>Таблица_брюки[[#This Row],[защита]]*(1+Примерочная!$J$15*VLOOKUP(Таблица_брюки[[#This Row],[название]],Таблица_моды_брюки[],2,0)+Примерочная!$O$15*VLOOKUP(Таблица_брюки[[#This Row],[название]],Таблица_моды_брюки[],3,0))-Таблица_брюки[[#This Row],[защита]]</f>
        <v>0</v>
      </c>
      <c r="G87" s="390">
        <v>21</v>
      </c>
      <c r="H87" s="361">
        <v>6</v>
      </c>
      <c r="I87" s="362">
        <v>18</v>
      </c>
      <c r="J87" s="551">
        <f>Примерочная!$O$15*VLOOKUP(Таблица_брюки[[#This Row],[название]],Таблица_моды_брюки[],6,0)</f>
        <v>0</v>
      </c>
      <c r="K87" s="467">
        <v>0</v>
      </c>
      <c r="L87" s="550">
        <f>Примерочная!$M$15*VLOOKUP(Таблица_брюки[[#This Row],[название]],Таблица_моды_брюки[],9,0)+Примерочная!$N$15*VLOOKUP(Таблица_брюки[[#This Row],[название]],Таблица_моды_брюки[],10,0)</f>
        <v>0</v>
      </c>
      <c r="M87" s="466">
        <v>5</v>
      </c>
      <c r="N87" s="549">
        <f>Примерочная!$L$15*VLOOKUP(Таблица_брюки[[#This Row],[название]],Таблица_моды_брюки[],11,0)</f>
        <v>0</v>
      </c>
      <c r="O87" s="468">
        <v>0.05</v>
      </c>
      <c r="P87" s="469">
        <v>0</v>
      </c>
      <c r="Q87" s="546">
        <f>Примерочная!$L$11*VLOOKUP(Таблица_брюки[[#This Row],[название]],Таблица_моды_брюки[],12,0)</f>
        <v>0</v>
      </c>
      <c r="R87" s="262">
        <f>0</f>
        <v>0</v>
      </c>
      <c r="S87" s="544">
        <f>Примерочная!$K$15*VLOOKUP(Таблица_брюки[[#This Row],[название]],Таблица_моды_брюки[],13,0)</f>
        <v>0</v>
      </c>
      <c r="T87" s="305">
        <v>0</v>
      </c>
      <c r="U87" s="542">
        <f>Примерочная!$K$15*VLOOKUP(Таблица_брюки[[#This Row],[название]],Таблица_моды_брюки[],14,0)</f>
        <v>0</v>
      </c>
      <c r="V87" s="467">
        <v>0</v>
      </c>
      <c r="W87" s="405"/>
      <c r="X87" s="405"/>
      <c r="Y87" s="405">
        <v>14</v>
      </c>
      <c r="Z87" s="128">
        <v>7</v>
      </c>
      <c r="AA87" s="3"/>
      <c r="AB87" s="3"/>
      <c r="AC87" s="3"/>
      <c r="AE87" s="3"/>
      <c r="AG87" s="3"/>
      <c r="AK87" s="3"/>
    </row>
    <row r="88" spans="1:41" ht="33" customHeight="1" x14ac:dyDescent="0.25">
      <c r="A88" s="405" t="s">
        <v>41</v>
      </c>
      <c r="B88" s="459"/>
      <c r="C88" s="405">
        <v>-15</v>
      </c>
      <c r="D88" s="551">
        <f>Примерочная!$N$15*VLOOKUP(Таблица_брюки[[#This Row],[название]],Таблица_моды_брюки[],4,0)+Примерочная!$M$15*VLOOKUP(Таблица_брюки[[#This Row],[название]],Таблица_моды_брюки[],5,0)</f>
        <v>0</v>
      </c>
      <c r="E88" s="466">
        <v>22</v>
      </c>
      <c r="F88" s="552">
        <f>Таблица_брюки[[#This Row],[защита]]*(1+Примерочная!$J$15*VLOOKUP(Таблица_брюки[[#This Row],[название]],Таблица_моды_брюки[],2,0)+Примерочная!$O$15*VLOOKUP(Таблица_брюки[[#This Row],[название]],Таблица_моды_брюки[],3,0))-Таблица_брюки[[#This Row],[защита]]</f>
        <v>0</v>
      </c>
      <c r="G88" s="390">
        <v>21</v>
      </c>
      <c r="H88" s="361">
        <v>6</v>
      </c>
      <c r="I88" s="362">
        <v>18</v>
      </c>
      <c r="J88" s="551">
        <f>Примерочная!$O$15*VLOOKUP(Таблица_брюки[[#This Row],[название]],Таблица_моды_брюки[],6,0)</f>
        <v>0</v>
      </c>
      <c r="K88" s="467">
        <v>0</v>
      </c>
      <c r="L88" s="550">
        <f>Примерочная!$M$15*VLOOKUP(Таблица_брюки[[#This Row],[название]],Таблица_моды_брюки[],9,0)+Примерочная!$N$15*VLOOKUP(Таблица_брюки[[#This Row],[название]],Таблица_моды_брюки[],10,0)</f>
        <v>0</v>
      </c>
      <c r="M88" s="466">
        <v>5</v>
      </c>
      <c r="N88" s="549">
        <f>Примерочная!$L$15*VLOOKUP(Таблица_брюки[[#This Row],[название]],Таблица_моды_брюки[],11,0)</f>
        <v>0</v>
      </c>
      <c r="O88" s="468">
        <v>0.06</v>
      </c>
      <c r="P88" s="469">
        <v>0</v>
      </c>
      <c r="Q88" s="546">
        <f>Примерочная!$L$11*VLOOKUP(Таблица_брюки[[#This Row],[название]],Таблица_моды_брюки[],12,0)</f>
        <v>0</v>
      </c>
      <c r="R88" s="262">
        <f>0</f>
        <v>0</v>
      </c>
      <c r="S88" s="544">
        <f>Примерочная!$K$15*VLOOKUP(Таблица_брюки[[#This Row],[название]],Таблица_моды_брюки[],13,0)</f>
        <v>0</v>
      </c>
      <c r="T88" s="305">
        <v>0</v>
      </c>
      <c r="U88" s="542">
        <f>Примерочная!$K$15*VLOOKUP(Таблица_брюки[[#This Row],[название]],Таблица_моды_брюки[],14,0)</f>
        <v>0</v>
      </c>
      <c r="V88" s="467">
        <v>0</v>
      </c>
      <c r="W88" s="405"/>
      <c r="X88" s="405"/>
      <c r="Y88" s="405">
        <v>18</v>
      </c>
      <c r="Z88" s="128">
        <v>7</v>
      </c>
      <c r="AA88" s="3"/>
      <c r="AB88" s="3"/>
      <c r="AC88" s="3"/>
      <c r="AE88" s="3"/>
      <c r="AG88" s="3"/>
      <c r="AK88" s="3"/>
      <c r="AL88" s="3"/>
    </row>
    <row r="89" spans="1:41" ht="33" customHeight="1" x14ac:dyDescent="0.25">
      <c r="A89" s="405" t="s">
        <v>42</v>
      </c>
      <c r="B89" s="459"/>
      <c r="C89" s="405">
        <v>-18</v>
      </c>
      <c r="D89" s="551">
        <f>Примерочная!$N$15*VLOOKUP(Таблица_брюки[[#This Row],[название]],Таблица_моды_брюки[],4,0)+Примерочная!$M$15*VLOOKUP(Таблица_брюки[[#This Row],[название]],Таблица_моды_брюки[],5,0)</f>
        <v>0</v>
      </c>
      <c r="E89" s="466">
        <v>29</v>
      </c>
      <c r="F89" s="552">
        <f>Таблица_брюки[[#This Row],[защита]]*(1+Примерочная!$J$15*VLOOKUP(Таблица_брюки[[#This Row],[название]],Таблица_моды_брюки[],2,0)+Примерочная!$O$15*VLOOKUP(Таблица_брюки[[#This Row],[название]],Таблица_моды_брюки[],3,0))-Таблица_брюки[[#This Row],[защита]]</f>
        <v>0</v>
      </c>
      <c r="G89" s="390">
        <v>21</v>
      </c>
      <c r="H89" s="361">
        <v>6</v>
      </c>
      <c r="I89" s="362">
        <v>18</v>
      </c>
      <c r="J89" s="551">
        <f>Примерочная!$O$15*VLOOKUP(Таблица_брюки[[#This Row],[название]],Таблица_моды_брюки[],6,0)</f>
        <v>0</v>
      </c>
      <c r="K89" s="467">
        <v>0</v>
      </c>
      <c r="L89" s="550">
        <f>Примерочная!$M$15*VLOOKUP(Таблица_брюки[[#This Row],[название]],Таблица_моды_брюки[],9,0)+Примерочная!$N$15*VLOOKUP(Таблица_брюки[[#This Row],[название]],Таблица_моды_брюки[],10,0)</f>
        <v>0</v>
      </c>
      <c r="M89" s="466">
        <v>5</v>
      </c>
      <c r="N89" s="549">
        <f>Примерочная!$L$15*VLOOKUP(Таблица_брюки[[#This Row],[название]],Таблица_моды_брюки[],11,0)</f>
        <v>0</v>
      </c>
      <c r="O89" s="468">
        <v>0.06</v>
      </c>
      <c r="P89" s="469">
        <v>0</v>
      </c>
      <c r="Q89" s="546">
        <f>Примерочная!$L$11*VLOOKUP(Таблица_брюки[[#This Row],[название]],Таблица_моды_брюки[],12,0)</f>
        <v>0</v>
      </c>
      <c r="R89" s="262">
        <f>0</f>
        <v>0</v>
      </c>
      <c r="S89" s="544">
        <f>Примерочная!$K$15*VLOOKUP(Таблица_брюки[[#This Row],[название]],Таблица_моды_брюки[],13,0)</f>
        <v>0</v>
      </c>
      <c r="T89" s="305">
        <v>0</v>
      </c>
      <c r="U89" s="542">
        <f>Примерочная!$K$15*VLOOKUP(Таблица_брюки[[#This Row],[название]],Таблица_моды_брюки[],14,0)</f>
        <v>0</v>
      </c>
      <c r="V89" s="467">
        <v>0</v>
      </c>
      <c r="W89" s="405"/>
      <c r="X89" s="405"/>
      <c r="Y89" s="405">
        <v>22</v>
      </c>
      <c r="Z89" s="128">
        <v>7</v>
      </c>
      <c r="AA89" s="3"/>
      <c r="AB89" s="3"/>
      <c r="AC89" s="3"/>
      <c r="AE89" s="3"/>
      <c r="AG89" s="3"/>
      <c r="AK89" s="3"/>
      <c r="AL89" s="3"/>
      <c r="AM89" s="3"/>
    </row>
    <row r="90" spans="1:41" ht="33" customHeight="1" x14ac:dyDescent="0.25">
      <c r="A90" s="405" t="s">
        <v>43</v>
      </c>
      <c r="B90" s="459"/>
      <c r="C90" s="405">
        <v>-20</v>
      </c>
      <c r="D90" s="551">
        <f>Примерочная!$N$15*VLOOKUP(Таблица_брюки[[#This Row],[название]],Таблица_моды_брюки[],4,0)+Примерочная!$M$15*VLOOKUP(Таблица_брюки[[#This Row],[название]],Таблица_моды_брюки[],5,0)</f>
        <v>0</v>
      </c>
      <c r="E90" s="466">
        <v>36</v>
      </c>
      <c r="F90" s="552">
        <f>Таблица_брюки[[#This Row],[защита]]*(1+Примерочная!$J$15*VLOOKUP(Таблица_брюки[[#This Row],[название]],Таблица_моды_брюки[],2,0)+Примерочная!$O$15*VLOOKUP(Таблица_брюки[[#This Row],[название]],Таблица_моды_брюки[],3,0))-Таблица_брюки[[#This Row],[защита]]</f>
        <v>0</v>
      </c>
      <c r="G90" s="390">
        <v>21</v>
      </c>
      <c r="H90" s="361">
        <v>6</v>
      </c>
      <c r="I90" s="362">
        <v>18</v>
      </c>
      <c r="J90" s="551">
        <f>Примерочная!$O$15*VLOOKUP(Таблица_брюки[[#This Row],[название]],Таблица_моды_брюки[],6,0)</f>
        <v>0</v>
      </c>
      <c r="K90" s="467">
        <v>0</v>
      </c>
      <c r="L90" s="550">
        <f>Примерочная!$M$15*VLOOKUP(Таблица_брюки[[#This Row],[название]],Таблица_моды_брюки[],9,0)+Примерочная!$N$15*VLOOKUP(Таблица_брюки[[#This Row],[название]],Таблица_моды_брюки[],10,0)</f>
        <v>0</v>
      </c>
      <c r="M90" s="466">
        <v>5</v>
      </c>
      <c r="N90" s="549">
        <f>Примерочная!$L$15*VLOOKUP(Таблица_брюки[[#This Row],[название]],Таблица_моды_брюки[],11,0)</f>
        <v>0</v>
      </c>
      <c r="O90" s="468">
        <v>0.06</v>
      </c>
      <c r="P90" s="469">
        <v>0</v>
      </c>
      <c r="Q90" s="546">
        <f>Примерочная!$L$11*VLOOKUP(Таблица_брюки[[#This Row],[название]],Таблица_моды_брюки[],12,0)</f>
        <v>0</v>
      </c>
      <c r="R90" s="262">
        <f>0</f>
        <v>0</v>
      </c>
      <c r="S90" s="544">
        <f>Примерочная!$K$15*VLOOKUP(Таблица_брюки[[#This Row],[название]],Таблица_моды_брюки[],13,0)</f>
        <v>0</v>
      </c>
      <c r="T90" s="305">
        <v>0</v>
      </c>
      <c r="U90" s="542">
        <f>Примерочная!$K$15*VLOOKUP(Таблица_брюки[[#This Row],[название]],Таблица_моды_брюки[],14,0)</f>
        <v>0</v>
      </c>
      <c r="V90" s="467">
        <v>0</v>
      </c>
      <c r="W90" s="405"/>
      <c r="X90" s="405"/>
      <c r="Y90" s="405">
        <v>27</v>
      </c>
      <c r="Z90" s="128">
        <v>7</v>
      </c>
      <c r="AA90" s="3"/>
      <c r="AB90" s="3"/>
      <c r="AC90" s="3"/>
      <c r="AE90" s="3"/>
      <c r="AG90" s="3"/>
      <c r="AK90" s="3"/>
      <c r="AL90" s="3"/>
      <c r="AM90" s="3"/>
    </row>
    <row r="91" spans="1:41" ht="33" customHeight="1" x14ac:dyDescent="0.25">
      <c r="A91" s="405" t="s">
        <v>44</v>
      </c>
      <c r="B91" s="459"/>
      <c r="C91" s="405">
        <v>-23</v>
      </c>
      <c r="D91" s="551">
        <f>Примерочная!$N$15*VLOOKUP(Таблица_брюки[[#This Row],[название]],Таблица_моды_брюки[],4,0)+Примерочная!$M$15*VLOOKUP(Таблица_брюки[[#This Row],[название]],Таблица_моды_брюки[],5,0)</f>
        <v>0</v>
      </c>
      <c r="E91" s="466">
        <v>42</v>
      </c>
      <c r="F91" s="552">
        <f>Таблица_брюки[[#This Row],[защита]]*(1+Примерочная!$J$15*VLOOKUP(Таблица_брюки[[#This Row],[название]],Таблица_моды_брюки[],2,0)+Примерочная!$O$15*VLOOKUP(Таблица_брюки[[#This Row],[название]],Таблица_моды_брюки[],3,0))-Таблица_брюки[[#This Row],[защита]]</f>
        <v>0</v>
      </c>
      <c r="G91" s="390">
        <v>21</v>
      </c>
      <c r="H91" s="361">
        <v>6</v>
      </c>
      <c r="I91" s="362">
        <v>18</v>
      </c>
      <c r="J91" s="551">
        <f>Примерочная!$O$15*VLOOKUP(Таблица_брюки[[#This Row],[название]],Таблица_моды_брюки[],6,0)</f>
        <v>0</v>
      </c>
      <c r="K91" s="467">
        <v>0</v>
      </c>
      <c r="L91" s="550">
        <f>Примерочная!$M$15*VLOOKUP(Таблица_брюки[[#This Row],[название]],Таблица_моды_брюки[],9,0)+Примерочная!$N$15*VLOOKUP(Таблица_брюки[[#This Row],[название]],Таблица_моды_брюки[],10,0)</f>
        <v>0</v>
      </c>
      <c r="M91" s="466">
        <v>5</v>
      </c>
      <c r="N91" s="549">
        <f>Примерочная!$L$15*VLOOKUP(Таблица_брюки[[#This Row],[название]],Таблица_моды_брюки[],11,0)</f>
        <v>0</v>
      </c>
      <c r="O91" s="468">
        <v>0.06</v>
      </c>
      <c r="P91" s="469">
        <v>0</v>
      </c>
      <c r="Q91" s="546">
        <f>Примерочная!$L$11*VLOOKUP(Таблица_брюки[[#This Row],[название]],Таблица_моды_брюки[],12,0)</f>
        <v>0</v>
      </c>
      <c r="R91" s="262">
        <f>0</f>
        <v>0</v>
      </c>
      <c r="S91" s="544">
        <f>Примерочная!$K$15*VLOOKUP(Таблица_брюки[[#This Row],[название]],Таблица_моды_брюки[],13,0)</f>
        <v>0</v>
      </c>
      <c r="T91" s="305">
        <v>0</v>
      </c>
      <c r="U91" s="542">
        <f>Примерочная!$K$15*VLOOKUP(Таблица_брюки[[#This Row],[название]],Таблица_моды_брюки[],14,0)</f>
        <v>0</v>
      </c>
      <c r="V91" s="467">
        <v>0</v>
      </c>
      <c r="W91" s="405"/>
      <c r="X91" s="405"/>
      <c r="Y91" s="405">
        <v>35</v>
      </c>
      <c r="Z91" s="128">
        <v>7</v>
      </c>
      <c r="AA91" s="3"/>
      <c r="AB91" s="3"/>
      <c r="AC91" s="3"/>
      <c r="AE91" s="3"/>
      <c r="AG91" s="3"/>
      <c r="AK91" s="3"/>
      <c r="AL91" s="3"/>
      <c r="AM91" s="3"/>
      <c r="AO91" s="3"/>
    </row>
    <row r="92" spans="1:41" ht="33" customHeight="1" x14ac:dyDescent="0.25">
      <c r="A92" s="467"/>
      <c r="B92" s="128"/>
      <c r="C92" s="466"/>
      <c r="D92" s="551"/>
      <c r="E92" s="466"/>
      <c r="F92" s="552"/>
      <c r="G92" s="390"/>
      <c r="H92" s="361"/>
      <c r="I92" s="362"/>
      <c r="J92" s="551"/>
      <c r="K92" s="467"/>
      <c r="L92" s="550"/>
      <c r="M92" s="466"/>
      <c r="N92" s="549"/>
      <c r="O92" s="468"/>
      <c r="P92" s="469"/>
      <c r="Q92" s="546"/>
      <c r="R92" s="262"/>
      <c r="S92" s="544"/>
      <c r="T92" s="305"/>
      <c r="U92" s="542"/>
      <c r="V92" s="467"/>
      <c r="W92" s="405"/>
      <c r="X92" s="405"/>
      <c r="Y92" s="405"/>
      <c r="Z92" s="128"/>
      <c r="AA92" s="3"/>
      <c r="AB92" s="3"/>
      <c r="AC92" s="3"/>
      <c r="AE92" s="3"/>
      <c r="AG92" s="3"/>
    </row>
    <row r="93" spans="1:41" ht="33" customHeight="1" thickBot="1" x14ac:dyDescent="0.3">
      <c r="A93" s="406" t="s">
        <v>329</v>
      </c>
      <c r="B93" s="470"/>
      <c r="C93" s="471">
        <v>-15</v>
      </c>
      <c r="D93" s="553">
        <f>Примерочная!$N$15*VLOOKUP(Таблица_брюки[[#This Row],[название]],Таблица_моды_брюки[],4,0)+Примерочная!$M$15*VLOOKUP(Таблица_брюки[[#This Row],[название]],Таблица_моды_брюки[],5,0)</f>
        <v>0</v>
      </c>
      <c r="E93" s="472">
        <v>6</v>
      </c>
      <c r="F93" s="552">
        <f>Таблица_брюки[[#This Row],[защита]]*(1+Примерочная!$J$15*VLOOKUP(Таблица_брюки[[#This Row],[название]],Таблица_моды_брюки[],2,0)+Примерочная!$O$15*VLOOKUP(Таблица_брюки[[#This Row],[название]],Таблица_моды_брюки[],3,0))-Таблица_брюки[[#This Row],[защита]]</f>
        <v>0</v>
      </c>
      <c r="G93" s="391">
        <v>15</v>
      </c>
      <c r="H93" s="392">
        <v>15</v>
      </c>
      <c r="I93" s="393">
        <v>15</v>
      </c>
      <c r="J93" s="551">
        <f>Примерочная!$O$15*VLOOKUP(Таблица_брюки[[#This Row],[название]],Таблица_моды_брюки[],6,0)</f>
        <v>0</v>
      </c>
      <c r="K93" s="473">
        <f>3+(Примерочная!M15*28+Примерочная!N15*14)</f>
        <v>3</v>
      </c>
      <c r="L93" s="550">
        <f>Примерочная!$M$15*VLOOKUP(Таблица_брюки[[#This Row],[название]],Таблица_моды_брюки[],9,0)+Примерочная!$N$15*VLOOKUP(Таблица_брюки[[#This Row],[название]],Таблица_моды_брюки[],10,0)</f>
        <v>0</v>
      </c>
      <c r="M93" s="472">
        <f>3+(Примерочная!L15*45)</f>
        <v>3</v>
      </c>
      <c r="N93" s="549">
        <f>Примерочная!$L$15*VLOOKUP(Таблица_брюки[[#This Row],[название]],Таблица_моды_брюки[],11,0)</f>
        <v>0</v>
      </c>
      <c r="O93" s="474">
        <v>0.03</v>
      </c>
      <c r="P93" s="469">
        <v>0</v>
      </c>
      <c r="Q93" s="547">
        <f>Примерочная!$L$11*VLOOKUP(Таблица_брюки[[#This Row],[название]],Таблица_моды_брюки[],12,0)</f>
        <v>0</v>
      </c>
      <c r="R93" s="263">
        <f>0</f>
        <v>0</v>
      </c>
      <c r="S93" s="544">
        <f>Примерочная!$K$15*VLOOKUP(Таблица_брюки[[#This Row],[название]],Таблица_моды_брюки[],13,0)</f>
        <v>0</v>
      </c>
      <c r="T93" s="306">
        <v>0</v>
      </c>
      <c r="U93" s="542">
        <f>Примерочная!$K$15*VLOOKUP(Таблица_брюки[[#This Row],[название]],Таблица_моды_брюки[],14,0)</f>
        <v>0</v>
      </c>
      <c r="V93" s="467">
        <v>4</v>
      </c>
      <c r="W93" s="406"/>
      <c r="X93" s="406"/>
      <c r="Y93" s="406"/>
      <c r="Z93" s="475"/>
      <c r="AA93" s="3"/>
      <c r="AB93" s="3"/>
      <c r="AC93" s="3"/>
      <c r="AE93" s="3"/>
      <c r="AG93" s="3"/>
      <c r="AK93" s="3"/>
    </row>
    <row r="94" spans="1:41" ht="33" customHeight="1" thickBot="1" x14ac:dyDescent="0.3">
      <c r="A94" s="421"/>
      <c r="Y94" s="94"/>
      <c r="Z94" s="3"/>
      <c r="AA94" s="3"/>
      <c r="AB94" s="3"/>
      <c r="AC94" s="3"/>
      <c r="AE94" s="3"/>
      <c r="AG94" s="3"/>
      <c r="AK94" s="3"/>
      <c r="AL94" s="3"/>
    </row>
    <row r="95" spans="1:41" ht="33" customHeight="1" thickBot="1" x14ac:dyDescent="0.3">
      <c r="A95" s="819" t="s">
        <v>324</v>
      </c>
      <c r="B95" s="820" t="s">
        <v>613</v>
      </c>
      <c r="C95" s="820" t="s">
        <v>0</v>
      </c>
      <c r="D95" s="821" t="s">
        <v>337</v>
      </c>
      <c r="E95" s="870" t="s">
        <v>1</v>
      </c>
      <c r="F95" s="871" t="s">
        <v>343</v>
      </c>
      <c r="G95" s="870" t="s">
        <v>643</v>
      </c>
      <c r="H95" s="884" t="s">
        <v>644</v>
      </c>
      <c r="I95" s="885" t="s">
        <v>4</v>
      </c>
      <c r="J95" s="886" t="s">
        <v>344</v>
      </c>
      <c r="K95" s="892" t="s">
        <v>655</v>
      </c>
      <c r="L95" s="897" t="s">
        <v>347</v>
      </c>
      <c r="M95" s="903" t="s">
        <v>654</v>
      </c>
      <c r="N95" s="886" t="s">
        <v>348</v>
      </c>
      <c r="O95" s="907" t="s">
        <v>50</v>
      </c>
      <c r="P95" s="908" t="s">
        <v>600</v>
      </c>
      <c r="Q95" s="902" t="s">
        <v>498</v>
      </c>
      <c r="R95" s="820" t="s">
        <v>603</v>
      </c>
      <c r="Y95" s="94"/>
      <c r="Z95" s="3"/>
      <c r="AA95" s="3"/>
      <c r="AB95" s="3"/>
      <c r="AC95" s="3"/>
      <c r="AE95" s="3"/>
      <c r="AG95" s="3"/>
      <c r="AK95" s="3"/>
      <c r="AL95" s="3"/>
    </row>
    <row r="96" spans="1:41" ht="33" customHeight="1" x14ac:dyDescent="0.25">
      <c r="A96" s="813" t="s">
        <v>653</v>
      </c>
      <c r="B96" s="810"/>
      <c r="C96" s="811">
        <v>0</v>
      </c>
      <c r="D96" s="865">
        <v>0</v>
      </c>
      <c r="E96" s="872">
        <v>0</v>
      </c>
      <c r="F96" s="880">
        <v>0</v>
      </c>
      <c r="G96" s="872">
        <v>0</v>
      </c>
      <c r="H96" s="814">
        <v>0</v>
      </c>
      <c r="I96" s="814">
        <v>0</v>
      </c>
      <c r="J96" s="877">
        <v>0</v>
      </c>
      <c r="K96" s="893">
        <v>0</v>
      </c>
      <c r="L96" s="898">
        <v>0</v>
      </c>
      <c r="M96" s="872">
        <v>0</v>
      </c>
      <c r="N96" s="877">
        <v>0</v>
      </c>
      <c r="O96" s="909">
        <v>0</v>
      </c>
      <c r="P96" s="912">
        <v>0</v>
      </c>
      <c r="Q96" s="840">
        <v>0</v>
      </c>
      <c r="R96" s="840">
        <v>0</v>
      </c>
      <c r="Y96" s="94"/>
      <c r="Z96" s="3"/>
      <c r="AA96" s="3"/>
      <c r="AB96" s="3"/>
      <c r="AC96" s="3"/>
      <c r="AE96" s="3"/>
      <c r="AG96" s="3"/>
      <c r="AK96" s="3"/>
      <c r="AL96" s="3"/>
      <c r="AN96" s="3"/>
    </row>
    <row r="97" spans="1:43" ht="33" customHeight="1" x14ac:dyDescent="0.25">
      <c r="A97" s="813"/>
      <c r="B97" s="846">
        <v>2</v>
      </c>
      <c r="C97" s="847">
        <v>3</v>
      </c>
      <c r="D97" s="866">
        <v>4</v>
      </c>
      <c r="E97" s="873">
        <v>5</v>
      </c>
      <c r="F97" s="881">
        <v>6</v>
      </c>
      <c r="G97" s="887">
        <v>7</v>
      </c>
      <c r="H97" s="848">
        <v>8</v>
      </c>
      <c r="I97" s="848">
        <v>9</v>
      </c>
      <c r="J97" s="878">
        <v>10</v>
      </c>
      <c r="K97" s="887">
        <v>11</v>
      </c>
      <c r="L97" s="899">
        <v>12</v>
      </c>
      <c r="M97" s="904">
        <v>13</v>
      </c>
      <c r="N97" s="878">
        <v>14</v>
      </c>
      <c r="O97" s="910">
        <v>15</v>
      </c>
      <c r="P97" s="913">
        <v>16</v>
      </c>
      <c r="Q97" s="849">
        <v>17</v>
      </c>
      <c r="R97" s="849">
        <v>18</v>
      </c>
      <c r="Y97" s="94"/>
      <c r="Z97" s="3"/>
      <c r="AA97" s="3"/>
      <c r="AB97" s="3"/>
      <c r="AC97" s="3"/>
      <c r="AE97" s="3"/>
      <c r="AG97" s="3"/>
      <c r="AK97" s="3"/>
      <c r="AL97" s="3"/>
      <c r="AN97" s="3"/>
      <c r="AO97" s="3"/>
    </row>
    <row r="98" spans="1:43" ht="33" customHeight="1" x14ac:dyDescent="0.25">
      <c r="A98" s="813" t="s">
        <v>357</v>
      </c>
      <c r="B98" s="810"/>
      <c r="C98" s="811">
        <v>-4</v>
      </c>
      <c r="D98" s="867"/>
      <c r="E98" s="874">
        <v>14</v>
      </c>
      <c r="F98" s="882">
        <f>Таблица_щиты[[#This Row],[защита]]*(1+Примерочная!$J$22*VLOOKUP(Таблица_щиты[[#This Row],[название]],Таблица_моды_щиты[],2,0)+Примерочная!$N$22*VLOOKUP(Таблица_щиты[[#This Row],[название]],Таблица_моды_щиты[],3,0))-Таблица_щиты[[#This Row],[защита]]</f>
        <v>0</v>
      </c>
      <c r="G98" s="888">
        <v>100</v>
      </c>
      <c r="H98" s="812">
        <v>100</v>
      </c>
      <c r="I98" s="812">
        <v>100</v>
      </c>
      <c r="J98" s="879">
        <f>Примерочная!$N$22*VLOOKUP(Таблица_щиты[[#This Row],[название]],Таблица_моды_щиты[],6,0)</f>
        <v>0</v>
      </c>
      <c r="K98" s="894">
        <v>0.1</v>
      </c>
      <c r="L98" s="900">
        <f>Примерочная!$K$22*VLOOKUP(Таблица_щиты[[#This Row],[название]],Таблица_моды_щиты[],8,0)</f>
        <v>0</v>
      </c>
      <c r="M98" s="905">
        <v>50</v>
      </c>
      <c r="N98" s="879">
        <f>Примерочная!$L$22*VLOOKUP(Таблица_щиты[[#This Row],[название]],Таблица_моды_щиты[],9,0)</f>
        <v>0</v>
      </c>
      <c r="O98" s="909">
        <v>0</v>
      </c>
      <c r="P98" s="912">
        <f>Примерочная!$L$22*VLOOKUP(Таблица_щиты[[#This Row],[название]],Таблица_моды_щиты[],10,0)+Примерочная!$M$22*VLOOKUP(Таблица_щиты[[#This Row],[название]],Таблица_моды_щиты[],11,0)</f>
        <v>0</v>
      </c>
      <c r="Q98" s="840">
        <v>0</v>
      </c>
      <c r="R98" s="840">
        <f>Примерочная!$M$22*VLOOKUP(Таблица_щиты[[#This Row],[название]],Таблица_моды_щиты[],7,0)</f>
        <v>0</v>
      </c>
      <c r="Y98" s="40"/>
      <c r="Z98" s="3"/>
      <c r="AA98" s="3"/>
      <c r="AB98" s="3"/>
      <c r="AC98" s="3"/>
      <c r="AE98" s="3"/>
      <c r="AG98" s="3"/>
    </row>
    <row r="99" spans="1:43" ht="33" customHeight="1" x14ac:dyDescent="0.25">
      <c r="A99" s="813" t="s">
        <v>358</v>
      </c>
      <c r="B99" s="810"/>
      <c r="C99" s="811">
        <v>-6</v>
      </c>
      <c r="D99" s="867"/>
      <c r="E99" s="874">
        <v>23</v>
      </c>
      <c r="F99" s="882">
        <f>Таблица_щиты[[#This Row],[защита]]*(1+Примерочная!$J$22*VLOOKUP(Таблица_щиты[[#This Row],[название]],Таблица_моды_щиты[],2,0)+Примерочная!$N$22*VLOOKUP(Таблица_щиты[[#This Row],[название]],Таблица_моды_щиты[],3,0))-Таблица_щиты[[#This Row],[защита]]</f>
        <v>0</v>
      </c>
      <c r="G99" s="888">
        <v>100</v>
      </c>
      <c r="H99" s="812">
        <v>100</v>
      </c>
      <c r="I99" s="812">
        <v>100</v>
      </c>
      <c r="J99" s="879">
        <f>Примерочная!$N$22*VLOOKUP(Таблица_щиты[[#This Row],[название]],Таблица_моды_щиты[],6,0)</f>
        <v>0</v>
      </c>
      <c r="K99" s="894">
        <v>0.11</v>
      </c>
      <c r="L99" s="900">
        <f>Примерочная!$K$22*VLOOKUP(Таблица_щиты[[#This Row],[название]],Таблица_моды_щиты[],8,0)</f>
        <v>0</v>
      </c>
      <c r="M99" s="905">
        <v>50</v>
      </c>
      <c r="N99" s="879">
        <f>Примерочная!$L$22*VLOOKUP(Таблица_щиты[[#This Row],[название]],Таблица_моды_щиты[],9,0)</f>
        <v>0</v>
      </c>
      <c r="O99" s="909">
        <v>0</v>
      </c>
      <c r="P99" s="912">
        <f>Примерочная!$L$22*VLOOKUP(Таблица_щиты[[#This Row],[название]],Таблица_моды_щиты[],10,0)+Примерочная!$M$22*VLOOKUP(Таблица_щиты[[#This Row],[название]],Таблица_моды_щиты[],11,0)</f>
        <v>0</v>
      </c>
      <c r="Q99" s="840">
        <v>0</v>
      </c>
      <c r="R99" s="840">
        <f>Примерочная!$M$22*VLOOKUP(Таблица_щиты[[#This Row],[название]],Таблица_моды_щиты[],7,0)</f>
        <v>0</v>
      </c>
      <c r="Y99" s="94"/>
      <c r="Z99" s="3"/>
      <c r="AA99" s="3"/>
      <c r="AB99" s="3"/>
      <c r="AC99" s="3"/>
      <c r="AE99" s="3"/>
      <c r="AG99" s="3"/>
      <c r="AK99" s="3"/>
      <c r="AL99" s="3"/>
      <c r="AM99" s="3"/>
      <c r="AN99" s="3"/>
      <c r="AO99" s="3"/>
      <c r="AP99" s="3"/>
      <c r="AQ99" s="3"/>
    </row>
    <row r="100" spans="1:43" ht="33" customHeight="1" x14ac:dyDescent="0.25">
      <c r="A100" s="813" t="s">
        <v>359</v>
      </c>
      <c r="B100" s="810"/>
      <c r="C100" s="811">
        <v>-8</v>
      </c>
      <c r="D100" s="867"/>
      <c r="E100" s="874">
        <v>34</v>
      </c>
      <c r="F100" s="882">
        <f>Таблица_щиты[[#This Row],[защита]]*(1+Примерочная!$J$22*VLOOKUP(Таблица_щиты[[#This Row],[название]],Таблица_моды_щиты[],2,0)+Примерочная!$N$22*VLOOKUP(Таблица_щиты[[#This Row],[название]],Таблица_моды_щиты[],3,0))-Таблица_щиты[[#This Row],[защита]]</f>
        <v>0</v>
      </c>
      <c r="G100" s="888">
        <v>100</v>
      </c>
      <c r="H100" s="812">
        <v>100</v>
      </c>
      <c r="I100" s="812">
        <v>100</v>
      </c>
      <c r="J100" s="879">
        <f>Примерочная!$N$22*VLOOKUP(Таблица_щиты[[#This Row],[название]],Таблица_моды_щиты[],6,0)</f>
        <v>0</v>
      </c>
      <c r="K100" s="894">
        <v>0.12</v>
      </c>
      <c r="L100" s="900">
        <f>Примерочная!$K$22*VLOOKUP(Таблица_щиты[[#This Row],[название]],Таблица_моды_щиты[],8,0)</f>
        <v>0</v>
      </c>
      <c r="M100" s="905">
        <v>50</v>
      </c>
      <c r="N100" s="879">
        <f>Примерочная!$L$22*VLOOKUP(Таблица_щиты[[#This Row],[название]],Таблица_моды_щиты[],9,0)</f>
        <v>0</v>
      </c>
      <c r="O100" s="909">
        <v>0</v>
      </c>
      <c r="P100" s="912">
        <f>Примерочная!$L$22*VLOOKUP(Таблица_щиты[[#This Row],[название]],Таблица_моды_щиты[],10,0)+Примерочная!$M$22*VLOOKUP(Таблица_щиты[[#This Row],[название]],Таблица_моды_щиты[],11,0)</f>
        <v>0</v>
      </c>
      <c r="Q100" s="840">
        <v>0</v>
      </c>
      <c r="R100" s="840">
        <f>Примерочная!$M$22*VLOOKUP(Таблица_щиты[[#This Row],[название]],Таблица_моды_щиты[],7,0)</f>
        <v>0</v>
      </c>
      <c r="Y100" s="94"/>
      <c r="Z100" s="3"/>
      <c r="AA100" s="3"/>
      <c r="AB100" s="3"/>
      <c r="AC100" s="3"/>
      <c r="AE100" s="3"/>
      <c r="AG100" s="3"/>
      <c r="AK100" s="3"/>
      <c r="AL100" s="3"/>
      <c r="AM100" s="3"/>
      <c r="AN100" s="3"/>
      <c r="AO100" s="3"/>
      <c r="AP100" s="3"/>
      <c r="AQ100" s="3"/>
    </row>
    <row r="101" spans="1:43" ht="33" customHeight="1" x14ac:dyDescent="0.25">
      <c r="A101" s="813" t="s">
        <v>360</v>
      </c>
      <c r="B101" s="810"/>
      <c r="C101" s="811">
        <v>-10</v>
      </c>
      <c r="D101" s="867"/>
      <c r="E101" s="874">
        <v>42</v>
      </c>
      <c r="F101" s="882">
        <f>Таблица_щиты[[#This Row],[защита]]*(1+Примерочная!$J$22*VLOOKUP(Таблица_щиты[[#This Row],[название]],Таблица_моды_щиты[],2,0)+Примерочная!$N$22*VLOOKUP(Таблица_щиты[[#This Row],[название]],Таблица_моды_щиты[],3,0))-Таблица_щиты[[#This Row],[защита]]</f>
        <v>0</v>
      </c>
      <c r="G101" s="888">
        <v>100</v>
      </c>
      <c r="H101" s="812">
        <v>100</v>
      </c>
      <c r="I101" s="812">
        <v>100</v>
      </c>
      <c r="J101" s="879">
        <f>Примерочная!$N$22*VLOOKUP(Таблица_щиты[[#This Row],[название]],Таблица_моды_щиты[],6,0)</f>
        <v>0</v>
      </c>
      <c r="K101" s="894">
        <v>0.13</v>
      </c>
      <c r="L101" s="900">
        <f>Примерочная!$K$22*VLOOKUP(Таблица_щиты[[#This Row],[название]],Таблица_моды_щиты[],8,0)</f>
        <v>0</v>
      </c>
      <c r="M101" s="905">
        <v>50</v>
      </c>
      <c r="N101" s="879">
        <f>Примерочная!$L$22*VLOOKUP(Таблица_щиты[[#This Row],[название]],Таблица_моды_щиты[],9,0)</f>
        <v>0</v>
      </c>
      <c r="O101" s="909">
        <v>0</v>
      </c>
      <c r="P101" s="912">
        <f>Примерочная!$L$22*VLOOKUP(Таблица_щиты[[#This Row],[название]],Таблица_моды_щиты[],10,0)+Примерочная!$M$22*VLOOKUP(Таблица_щиты[[#This Row],[название]],Таблица_моды_щиты[],11,0)</f>
        <v>0</v>
      </c>
      <c r="Q101" s="840">
        <v>0</v>
      </c>
      <c r="R101" s="840">
        <f>Примерочная!$M$22*VLOOKUP(Таблица_щиты[[#This Row],[название]],Таблица_моды_щиты[],7,0)</f>
        <v>0</v>
      </c>
      <c r="Y101" s="94"/>
      <c r="Z101" s="3"/>
      <c r="AA101" s="3"/>
      <c r="AB101" s="3"/>
      <c r="AC101" s="3"/>
      <c r="AE101" s="3"/>
      <c r="AG101" s="3"/>
      <c r="AK101" s="3"/>
      <c r="AL101" s="3"/>
      <c r="AM101" s="3"/>
      <c r="AN101" s="3"/>
      <c r="AO101" s="3"/>
      <c r="AP101" s="3"/>
      <c r="AQ101" s="3"/>
    </row>
    <row r="102" spans="1:43" ht="33" customHeight="1" x14ac:dyDescent="0.25">
      <c r="A102" s="813" t="s">
        <v>361</v>
      </c>
      <c r="B102" s="810"/>
      <c r="C102" s="811">
        <v>-12</v>
      </c>
      <c r="D102" s="867"/>
      <c r="E102" s="874">
        <v>51</v>
      </c>
      <c r="F102" s="882">
        <f>Таблица_щиты[[#This Row],[защита]]*(1+Примерочная!$J$22*VLOOKUP(Таблица_щиты[[#This Row],[название]],Таблица_моды_щиты[],2,0)+Примерочная!$N$22*VLOOKUP(Таблица_щиты[[#This Row],[название]],Таблица_моды_щиты[],3,0))-Таблица_щиты[[#This Row],[защита]]</f>
        <v>0</v>
      </c>
      <c r="G102" s="888">
        <v>100</v>
      </c>
      <c r="H102" s="812">
        <v>100</v>
      </c>
      <c r="I102" s="812">
        <v>100</v>
      </c>
      <c r="J102" s="879">
        <f>Примерочная!$N$22*VLOOKUP(Таблица_щиты[[#This Row],[название]],Таблица_моды_щиты[],6,0)</f>
        <v>0</v>
      </c>
      <c r="K102" s="894">
        <v>0.14000000000000001</v>
      </c>
      <c r="L102" s="900">
        <f>Примерочная!$K$22*VLOOKUP(Таблица_щиты[[#This Row],[название]],Таблица_моды_щиты[],8,0)</f>
        <v>0</v>
      </c>
      <c r="M102" s="905">
        <v>50</v>
      </c>
      <c r="N102" s="879">
        <f>Примерочная!$L$22*VLOOKUP(Таблица_щиты[[#This Row],[название]],Таблица_моды_щиты[],9,0)</f>
        <v>0</v>
      </c>
      <c r="O102" s="909">
        <v>0</v>
      </c>
      <c r="P102" s="912">
        <f>Примерочная!$L$22*VLOOKUP(Таблица_щиты[[#This Row],[название]],Таблица_моды_щиты[],10,0)+Примерочная!$M$22*VLOOKUP(Таблица_щиты[[#This Row],[название]],Таблица_моды_щиты[],11,0)</f>
        <v>0</v>
      </c>
      <c r="Q102" s="840">
        <v>0</v>
      </c>
      <c r="R102" s="840">
        <f>Примерочная!$M$22*VLOOKUP(Таблица_щиты[[#This Row],[название]],Таблица_моды_щиты[],7,0)</f>
        <v>0</v>
      </c>
      <c r="Y102" s="40"/>
      <c r="Z102" s="3"/>
      <c r="AA102" s="3"/>
      <c r="AB102" s="3"/>
      <c r="AC102" s="3"/>
      <c r="AE102" s="3"/>
      <c r="AG102" s="3"/>
      <c r="AK102" s="3"/>
      <c r="AL102" s="3"/>
      <c r="AM102" s="3"/>
      <c r="AN102" s="3"/>
      <c r="AO102" s="3"/>
      <c r="AP102" s="3"/>
      <c r="AQ102" s="3"/>
    </row>
    <row r="103" spans="1:43" ht="33" customHeight="1" x14ac:dyDescent="0.25">
      <c r="A103" s="815" t="s">
        <v>362</v>
      </c>
      <c r="B103" s="816"/>
      <c r="C103" s="817">
        <v>-14</v>
      </c>
      <c r="D103" s="868"/>
      <c r="E103" s="875">
        <v>58</v>
      </c>
      <c r="F103" s="882">
        <f>Таблица_щиты[[#This Row],[защита]]*(1+Примерочная!$J$22*VLOOKUP(Таблица_щиты[[#This Row],[название]],Таблица_моды_щиты[],2,0)+Примерочная!$N$22*VLOOKUP(Таблица_щиты[[#This Row],[название]],Таблица_моды_щиты[],3,0))-Таблица_щиты[[#This Row],[защита]]</f>
        <v>0</v>
      </c>
      <c r="G103" s="889">
        <v>100</v>
      </c>
      <c r="H103" s="818">
        <v>100</v>
      </c>
      <c r="I103" s="818">
        <v>100</v>
      </c>
      <c r="J103" s="879">
        <f>Примерочная!$N$22*VLOOKUP(Таблица_щиты[[#This Row],[название]],Таблица_моды_щиты[],6,0)</f>
        <v>0</v>
      </c>
      <c r="K103" s="895">
        <v>0.15</v>
      </c>
      <c r="L103" s="900">
        <f>Примерочная!$K$22*VLOOKUP(Таблица_щиты[[#This Row],[название]],Таблица_моды_щиты[],8,0)</f>
        <v>0</v>
      </c>
      <c r="M103" s="905">
        <v>50</v>
      </c>
      <c r="N103" s="879">
        <f>Примерочная!$L$22*VLOOKUP(Таблица_щиты[[#This Row],[название]],Таблица_моды_щиты[],9,0)</f>
        <v>0</v>
      </c>
      <c r="O103" s="909">
        <v>0</v>
      </c>
      <c r="P103" s="912">
        <f>Примерочная!$L$22*VLOOKUP(Таблица_щиты[[#This Row],[название]],Таблица_моды_щиты[],10,0)+Примерочная!$M$22*VLOOKUP(Таблица_щиты[[#This Row],[название]],Таблица_моды_щиты[],11,0)</f>
        <v>0</v>
      </c>
      <c r="Q103" s="840">
        <v>0</v>
      </c>
      <c r="R103" s="840">
        <f>Примерочная!$M$22*VLOOKUP(Таблица_щиты[[#This Row],[название]],Таблица_моды_щиты[],7,0)</f>
        <v>0</v>
      </c>
      <c r="Y103" s="94"/>
      <c r="Z103" s="3"/>
      <c r="AA103" s="3"/>
      <c r="AB103" s="3"/>
      <c r="AC103" s="3"/>
      <c r="AE103" s="3"/>
      <c r="AG103" s="3"/>
      <c r="AK103" s="3"/>
      <c r="AL103" s="3"/>
      <c r="AM103" s="3"/>
      <c r="AN103" s="3"/>
      <c r="AO103" s="3"/>
      <c r="AP103" s="3"/>
      <c r="AQ103" s="3"/>
    </row>
    <row r="104" spans="1:43" ht="33" customHeight="1" thickBot="1" x14ac:dyDescent="0.3">
      <c r="A104" s="420" t="s">
        <v>363</v>
      </c>
      <c r="B104" s="838"/>
      <c r="C104" s="839">
        <v>-16</v>
      </c>
      <c r="D104" s="869"/>
      <c r="E104" s="876">
        <v>67</v>
      </c>
      <c r="F104" s="883">
        <f>Таблица_щиты[[#This Row],[защита]]*(1+Примерочная!$J$22*VLOOKUP(Таблица_щиты[[#This Row],[название]],Таблица_моды_щиты[],2,0)+Примерочная!$N$22*VLOOKUP(Таблица_щиты[[#This Row],[название]],Таблица_моды_щиты[],3,0))-Таблица_щиты[[#This Row],[защита]]</f>
        <v>0</v>
      </c>
      <c r="G104" s="890">
        <v>100</v>
      </c>
      <c r="H104" s="891">
        <v>100</v>
      </c>
      <c r="I104" s="891">
        <v>100</v>
      </c>
      <c r="J104" s="879">
        <f>Примерочная!$N$22*VLOOKUP(Таблица_щиты[[#This Row],[название]],Таблица_моды_щиты[],6,0)</f>
        <v>0</v>
      </c>
      <c r="K104" s="896">
        <v>0.16</v>
      </c>
      <c r="L104" s="901">
        <f>Примерочная!$K$22*VLOOKUP(Таблица_щиты[[#This Row],[название]],Таблица_моды_щиты[],8,0)</f>
        <v>0</v>
      </c>
      <c r="M104" s="906">
        <v>50</v>
      </c>
      <c r="N104" s="879">
        <f>Примерочная!$L$22*VLOOKUP(Таблица_щиты[[#This Row],[название]],Таблица_моды_щиты[],9,0)</f>
        <v>0</v>
      </c>
      <c r="O104" s="911">
        <v>0</v>
      </c>
      <c r="P104" s="914">
        <f>Примерочная!$L$22*VLOOKUP(Таблица_щиты[[#This Row],[название]],Таблица_моды_щиты[],10,0)+Примерочная!$M$22*VLOOKUP(Таблица_щиты[[#This Row],[название]],Таблица_моды_щиты[],11,0)</f>
        <v>0</v>
      </c>
      <c r="Q104" s="840">
        <v>0</v>
      </c>
      <c r="R104" s="840">
        <f>Примерочная!$M$22*VLOOKUP(Таблица_щиты[[#This Row],[название]],Таблица_моды_щиты[],7,0)</f>
        <v>0</v>
      </c>
      <c r="Y104" s="94"/>
      <c r="Z104" s="3"/>
      <c r="AA104" s="3"/>
      <c r="AB104" s="3"/>
      <c r="AC104" s="3"/>
      <c r="AE104" s="3"/>
      <c r="AG104" s="3"/>
      <c r="AK104" s="3"/>
      <c r="AL104" s="3"/>
      <c r="AM104" s="3"/>
      <c r="AN104" s="3"/>
      <c r="AO104" s="3"/>
      <c r="AP104" s="3"/>
      <c r="AQ104" s="3"/>
    </row>
    <row r="105" spans="1:43" ht="34.5" customHeight="1" x14ac:dyDescent="0.25">
      <c r="A105" s="9"/>
      <c r="C105" s="837"/>
      <c r="D105" s="480"/>
      <c r="E105" s="479"/>
      <c r="G105" s="840"/>
      <c r="H105" s="840"/>
      <c r="I105" s="840"/>
      <c r="J105" s="841"/>
      <c r="K105" s="840"/>
      <c r="L105" s="841"/>
      <c r="M105" s="840"/>
      <c r="N105" s="840"/>
      <c r="Y105" s="94"/>
      <c r="Z105" s="3"/>
      <c r="AA105" s="3"/>
      <c r="AB105" s="3"/>
      <c r="AC105" s="3"/>
      <c r="AE105" s="3"/>
      <c r="AG105" s="3"/>
      <c r="AK105" s="3"/>
      <c r="AL105" s="3"/>
      <c r="AM105" s="3"/>
      <c r="AN105" s="3"/>
      <c r="AO105" s="3"/>
      <c r="AP105" s="3"/>
      <c r="AQ105" s="3"/>
    </row>
    <row r="106" spans="1:43" ht="34.5" customHeight="1" x14ac:dyDescent="0.25">
      <c r="A106" s="9"/>
      <c r="C106" s="352"/>
      <c r="D106" s="352"/>
      <c r="E106" s="477"/>
      <c r="F106" s="478"/>
      <c r="J106" s="477"/>
      <c r="K106" s="477"/>
      <c r="L106" s="477"/>
      <c r="Y106" s="40"/>
      <c r="Z106" s="3"/>
      <c r="AA106" s="3"/>
      <c r="AB106" s="3"/>
      <c r="AC106" s="3"/>
      <c r="AE106" s="3"/>
      <c r="AG106" s="3"/>
      <c r="AK106" s="3"/>
      <c r="AL106" s="3"/>
      <c r="AM106" s="3"/>
      <c r="AN106" s="3"/>
      <c r="AO106" s="3"/>
      <c r="AP106" s="3"/>
      <c r="AQ106" s="3"/>
    </row>
    <row r="107" spans="1:43" ht="34.5" customHeight="1" x14ac:dyDescent="0.25">
      <c r="A107" s="9"/>
      <c r="C107" s="3"/>
      <c r="D107" s="3"/>
      <c r="E107" s="3"/>
      <c r="F107" s="479"/>
      <c r="L107" s="9"/>
      <c r="N107" s="9"/>
      <c r="Y107" s="94"/>
      <c r="Z107" s="3"/>
      <c r="AA107" s="3"/>
      <c r="AB107" s="3"/>
      <c r="AC107" s="3"/>
      <c r="AE107" s="3"/>
      <c r="AG107" s="3"/>
    </row>
    <row r="108" spans="1:43" ht="34.5" customHeight="1" x14ac:dyDescent="0.25">
      <c r="A108" s="9"/>
      <c r="C108" s="3"/>
      <c r="D108" s="3"/>
      <c r="E108" s="3"/>
      <c r="F108" s="479"/>
      <c r="L108" s="9"/>
      <c r="N108" s="3"/>
      <c r="R108" s="3"/>
      <c r="Y108" s="94"/>
      <c r="Z108" s="3"/>
      <c r="AA108" s="3"/>
      <c r="AB108" s="3"/>
      <c r="AC108" s="3"/>
      <c r="AE108" s="3"/>
      <c r="AG108" s="3"/>
      <c r="AK108" s="3"/>
      <c r="AL108" s="3"/>
      <c r="AM108" s="3"/>
      <c r="AN108" s="3"/>
      <c r="AO108" s="3"/>
      <c r="AP108" s="3"/>
    </row>
    <row r="109" spans="1:43" ht="34.5" customHeight="1" x14ac:dyDescent="0.25">
      <c r="A109" s="9"/>
      <c r="C109" s="3"/>
      <c r="D109" s="3"/>
      <c r="E109" s="3"/>
      <c r="F109" s="479"/>
      <c r="L109" s="9"/>
      <c r="N109" s="3"/>
      <c r="R109" s="3"/>
      <c r="Y109" s="94"/>
      <c r="Z109" s="3"/>
      <c r="AA109" s="3"/>
      <c r="AB109" s="3"/>
      <c r="AC109" s="3"/>
      <c r="AE109" s="3"/>
      <c r="AG109" s="3"/>
      <c r="AK109" s="3"/>
      <c r="AL109" s="3"/>
      <c r="AM109" s="3"/>
      <c r="AN109" s="3"/>
      <c r="AO109" s="3"/>
      <c r="AP109" s="3"/>
    </row>
    <row r="110" spans="1:43" ht="34.5" customHeight="1" x14ac:dyDescent="0.25">
      <c r="A110" s="9"/>
      <c r="D110" s="9"/>
      <c r="L110" s="9"/>
      <c r="N110" s="3"/>
      <c r="R110" s="3"/>
      <c r="Y110" s="40"/>
      <c r="Z110" s="3"/>
      <c r="AA110" s="3"/>
      <c r="AB110" s="3"/>
      <c r="AC110" s="3"/>
      <c r="AE110" s="3"/>
      <c r="AG110" s="3"/>
      <c r="AK110" s="3"/>
      <c r="AL110" s="3"/>
      <c r="AM110" s="3"/>
      <c r="AN110" s="3"/>
      <c r="AO110" s="3"/>
      <c r="AP110" s="3"/>
    </row>
    <row r="111" spans="1:43" ht="33.75" customHeight="1" x14ac:dyDescent="0.25">
      <c r="A111" s="9"/>
      <c r="B111" s="352"/>
      <c r="D111" s="9"/>
      <c r="E111" s="3"/>
      <c r="F111" s="480"/>
      <c r="L111" s="9"/>
      <c r="N111" s="3"/>
      <c r="R111" s="3"/>
      <c r="Y111" s="94"/>
      <c r="Z111" s="3"/>
      <c r="AA111" s="3"/>
      <c r="AB111" s="3"/>
      <c r="AC111" s="3"/>
      <c r="AE111" s="3"/>
      <c r="AG111" s="3"/>
      <c r="AK111" s="3"/>
      <c r="AL111" s="3"/>
      <c r="AM111" s="3"/>
      <c r="AN111" s="3"/>
      <c r="AO111" s="3"/>
      <c r="AP111" s="3"/>
    </row>
    <row r="112" spans="1:43" ht="34.5" customHeight="1" x14ac:dyDescent="0.25">
      <c r="A112" s="9"/>
      <c r="B112" s="352"/>
      <c r="D112" s="9"/>
      <c r="E112" s="3"/>
      <c r="F112" s="480"/>
      <c r="L112" s="9"/>
      <c r="R112" s="3"/>
      <c r="Y112" s="94"/>
      <c r="Z112" s="3"/>
      <c r="AA112" s="3"/>
      <c r="AB112" s="3"/>
      <c r="AC112" s="3"/>
      <c r="AE112" s="3"/>
      <c r="AG112" s="3"/>
      <c r="AK112" s="3"/>
      <c r="AL112" s="3"/>
      <c r="AM112" s="3"/>
      <c r="AN112" s="3"/>
      <c r="AO112" s="3"/>
      <c r="AP112" s="3"/>
    </row>
    <row r="113" spans="1:43" ht="34.5" customHeight="1" x14ac:dyDescent="0.25">
      <c r="A113" s="9"/>
      <c r="B113" s="352"/>
      <c r="D113" s="9"/>
      <c r="E113" s="3"/>
      <c r="F113" s="480"/>
      <c r="L113" s="9"/>
      <c r="Y113" s="94"/>
      <c r="Z113" s="3"/>
      <c r="AA113" s="3"/>
      <c r="AB113" s="3"/>
      <c r="AC113" s="3"/>
      <c r="AE113" s="3"/>
      <c r="AG113" s="3"/>
    </row>
    <row r="114" spans="1:43" ht="34.5" customHeight="1" x14ac:dyDescent="0.25">
      <c r="A114" s="9"/>
      <c r="B114" s="352"/>
      <c r="D114" s="9"/>
      <c r="E114" s="3"/>
      <c r="F114" s="480"/>
      <c r="L114" s="9"/>
      <c r="Y114" s="40"/>
      <c r="Z114" s="3"/>
      <c r="AA114" s="3"/>
      <c r="AB114" s="3"/>
      <c r="AC114" s="3"/>
      <c r="AE114" s="3"/>
      <c r="AG114" s="3"/>
      <c r="AK114" s="3"/>
      <c r="AO114" s="3"/>
      <c r="AP114" s="3"/>
      <c r="AQ114" s="3"/>
    </row>
    <row r="115" spans="1:43" ht="34.5" customHeight="1" x14ac:dyDescent="0.25">
      <c r="A115" s="9"/>
      <c r="D115" s="9"/>
      <c r="E115" s="427"/>
      <c r="L115" s="9"/>
      <c r="Y115" s="94"/>
      <c r="Z115" s="3"/>
      <c r="AA115" s="3"/>
      <c r="AB115" s="3"/>
      <c r="AC115" s="3"/>
      <c r="AE115" s="3"/>
      <c r="AG115" s="3"/>
      <c r="AK115" s="3"/>
      <c r="AO115" s="3"/>
      <c r="AP115" s="3"/>
      <c r="AQ115" s="3"/>
    </row>
    <row r="116" spans="1:43" ht="34.5" customHeight="1" x14ac:dyDescent="0.25">
      <c r="A116" s="9"/>
      <c r="B116" s="352"/>
      <c r="D116" s="9"/>
      <c r="J116" s="3"/>
      <c r="L116" s="9"/>
      <c r="Y116" s="94"/>
      <c r="Z116" s="3"/>
      <c r="AA116" s="3"/>
      <c r="AB116" s="3"/>
      <c r="AC116" s="3"/>
      <c r="AE116" s="3"/>
      <c r="AG116" s="3"/>
      <c r="AK116" s="3"/>
      <c r="AO116" s="3"/>
      <c r="AP116" s="3"/>
      <c r="AQ116" s="3"/>
    </row>
    <row r="117" spans="1:43" ht="34.5" customHeight="1" x14ac:dyDescent="0.25">
      <c r="A117" s="9"/>
      <c r="B117" s="352"/>
      <c r="D117" s="9"/>
      <c r="J117" s="3"/>
      <c r="L117" s="9"/>
      <c r="Y117" s="94"/>
      <c r="Z117" s="3"/>
      <c r="AA117" s="3"/>
      <c r="AB117" s="3"/>
      <c r="AC117" s="3"/>
      <c r="AE117" s="3"/>
      <c r="AG117" s="3"/>
      <c r="AK117" s="3"/>
      <c r="AO117" s="3"/>
      <c r="AP117" s="3"/>
      <c r="AQ117" s="3"/>
    </row>
    <row r="118" spans="1:43" ht="34.5" customHeight="1" x14ac:dyDescent="0.25">
      <c r="A118" s="9"/>
      <c r="B118" s="352"/>
      <c r="D118" s="9"/>
      <c r="J118" s="3"/>
      <c r="L118" s="9"/>
      <c r="AA118" s="3"/>
      <c r="AB118" s="3"/>
      <c r="AC118" s="3"/>
      <c r="AE118" s="3"/>
      <c r="AG118" s="3"/>
      <c r="AK118" s="3"/>
      <c r="AO118" s="3"/>
      <c r="AP118" s="3"/>
      <c r="AQ118" s="3"/>
    </row>
    <row r="119" spans="1:43" ht="34.5" customHeight="1" x14ac:dyDescent="0.25">
      <c r="A119" s="9"/>
      <c r="B119" s="352"/>
      <c r="D119" s="9"/>
      <c r="J119" s="427"/>
      <c r="L119" s="9"/>
      <c r="AA119" s="3"/>
      <c r="AB119" s="3"/>
      <c r="AC119" s="3"/>
      <c r="AE119" s="3"/>
      <c r="AG119" s="3"/>
    </row>
    <row r="120" spans="1:43" ht="34.5" customHeight="1" x14ac:dyDescent="0.25">
      <c r="A120" s="9"/>
      <c r="D120" s="9"/>
      <c r="L120" s="9"/>
      <c r="AB120" s="3"/>
      <c r="AC120" s="3"/>
      <c r="AE120" s="3"/>
      <c r="AG120" s="3"/>
      <c r="AK120" s="3"/>
      <c r="AL120" s="3"/>
      <c r="AM120" s="3"/>
      <c r="AN120" s="3"/>
      <c r="AO120" s="3"/>
    </row>
    <row r="121" spans="1:43" ht="34.5" customHeight="1" x14ac:dyDescent="0.25">
      <c r="A121" s="9"/>
      <c r="B121" s="352"/>
      <c r="D121" s="3"/>
      <c r="H121" s="357"/>
      <c r="L121" s="9"/>
      <c r="Y121" s="352"/>
      <c r="Z121" s="352"/>
      <c r="AB121" s="3"/>
      <c r="AC121" s="3"/>
      <c r="AE121" s="3"/>
      <c r="AG121" s="3"/>
      <c r="AK121" s="3"/>
      <c r="AL121" s="3"/>
      <c r="AM121" s="3"/>
      <c r="AN121" s="3"/>
      <c r="AO121" s="3"/>
    </row>
    <row r="122" spans="1:43" ht="34.5" customHeight="1" x14ac:dyDescent="0.25">
      <c r="A122" s="9"/>
      <c r="B122" s="352"/>
      <c r="D122" s="3"/>
      <c r="H122" s="357"/>
      <c r="L122" s="9"/>
      <c r="AK122" s="3"/>
      <c r="AL122" s="3"/>
      <c r="AM122" s="3"/>
      <c r="AN122" s="3"/>
      <c r="AO122" s="3"/>
    </row>
    <row r="123" spans="1:43" ht="34.5" customHeight="1" x14ac:dyDescent="0.25">
      <c r="A123" s="9"/>
      <c r="B123" s="352"/>
      <c r="D123" s="3"/>
      <c r="H123" s="357"/>
      <c r="L123" s="9"/>
      <c r="AA123" s="352"/>
      <c r="AK123" s="3"/>
      <c r="AL123" s="3"/>
      <c r="AM123" s="3"/>
      <c r="AN123" s="3"/>
      <c r="AO123" s="3"/>
    </row>
    <row r="124" spans="1:43" ht="34.5" customHeight="1" x14ac:dyDescent="0.25">
      <c r="A124" s="9"/>
      <c r="B124" s="352"/>
      <c r="D124" s="427"/>
      <c r="H124" s="358"/>
      <c r="L124" s="9"/>
      <c r="AK124" s="3"/>
      <c r="AL124" s="3"/>
      <c r="AM124" s="3"/>
      <c r="AN124" s="3"/>
      <c r="AO124" s="3"/>
    </row>
    <row r="125" spans="1:43" ht="15" customHeight="1" x14ac:dyDescent="0.25">
      <c r="A125" s="9"/>
      <c r="D125" s="9"/>
      <c r="L125" s="9"/>
      <c r="AB125" s="352"/>
      <c r="AC125" s="352"/>
      <c r="AD125" s="352"/>
      <c r="AE125" s="352"/>
      <c r="AF125" s="352"/>
      <c r="AG125" s="352"/>
      <c r="AH125" s="352"/>
    </row>
    <row r="126" spans="1:43" ht="15" customHeight="1" x14ac:dyDescent="0.25">
      <c r="A126" s="9"/>
      <c r="B126" s="352"/>
      <c r="D126" s="9"/>
      <c r="L126" s="9"/>
    </row>
    <row r="127" spans="1:43" ht="15" customHeight="1" x14ac:dyDescent="0.25">
      <c r="A127" s="9"/>
      <c r="B127" s="352"/>
      <c r="D127" s="9"/>
      <c r="L127" s="9"/>
    </row>
    <row r="128" spans="1:43" ht="15" customHeight="1" x14ac:dyDescent="0.25">
      <c r="A128" s="9"/>
      <c r="B128" s="352"/>
      <c r="D128" s="9"/>
      <c r="L128" s="9"/>
    </row>
    <row r="129" spans="2:17" s="9" customFormat="1" ht="15" customHeight="1" x14ac:dyDescent="0.25">
      <c r="B129" s="352"/>
      <c r="D129" s="435"/>
      <c r="F129" s="437"/>
      <c r="G129" s="365"/>
      <c r="H129" s="353"/>
      <c r="I129" s="354"/>
      <c r="J129" s="438"/>
      <c r="N129" s="438"/>
      <c r="O129" s="427"/>
      <c r="P129" s="427"/>
      <c r="Q129" s="427"/>
    </row>
    <row r="130" spans="2:17" s="9" customFormat="1" ht="15" customHeight="1" x14ac:dyDescent="0.25">
      <c r="D130" s="435"/>
      <c r="F130" s="437"/>
      <c r="G130" s="365"/>
      <c r="H130" s="353"/>
      <c r="I130" s="354"/>
      <c r="J130" s="438"/>
      <c r="N130" s="438"/>
      <c r="O130" s="427"/>
      <c r="P130" s="427"/>
      <c r="Q130" s="427"/>
    </row>
    <row r="131" spans="2:17" s="9" customFormat="1" ht="15" customHeight="1" x14ac:dyDescent="0.25">
      <c r="B131" s="352"/>
      <c r="D131" s="435"/>
      <c r="F131" s="479"/>
      <c r="G131" s="365"/>
      <c r="H131" s="353"/>
      <c r="I131" s="354"/>
      <c r="J131" s="438"/>
      <c r="N131" s="438"/>
      <c r="O131" s="427"/>
      <c r="P131" s="427"/>
      <c r="Q131" s="427"/>
    </row>
    <row r="132" spans="2:17" s="9" customFormat="1" ht="15" customHeight="1" x14ac:dyDescent="0.25">
      <c r="B132" s="352"/>
      <c r="D132" s="435"/>
      <c r="F132" s="479"/>
      <c r="G132" s="365"/>
      <c r="H132" s="353"/>
      <c r="I132" s="354"/>
      <c r="J132" s="438"/>
      <c r="N132" s="438"/>
      <c r="O132" s="427"/>
      <c r="P132" s="427"/>
      <c r="Q132" s="427"/>
    </row>
    <row r="133" spans="2:17" s="9" customFormat="1" ht="15" customHeight="1" x14ac:dyDescent="0.25">
      <c r="B133" s="352"/>
      <c r="D133" s="435"/>
      <c r="F133" s="479"/>
      <c r="G133" s="365"/>
      <c r="H133" s="353"/>
      <c r="I133" s="354"/>
      <c r="J133" s="438"/>
      <c r="N133" s="438"/>
      <c r="O133" s="427"/>
      <c r="P133" s="427"/>
      <c r="Q133" s="427"/>
    </row>
    <row r="134" spans="2:17" s="9" customFormat="1" ht="15" customHeight="1" x14ac:dyDescent="0.25">
      <c r="B134" s="352"/>
      <c r="D134" s="435"/>
      <c r="F134" s="479"/>
      <c r="G134" s="365"/>
      <c r="H134" s="353"/>
      <c r="I134" s="354"/>
      <c r="J134" s="438"/>
      <c r="N134" s="438"/>
      <c r="O134" s="427"/>
      <c r="P134" s="427"/>
      <c r="Q134" s="427"/>
    </row>
    <row r="135" spans="2:17" s="9" customFormat="1" ht="15" customHeight="1" x14ac:dyDescent="0.25">
      <c r="D135" s="435"/>
      <c r="F135" s="437"/>
      <c r="G135" s="365"/>
      <c r="H135" s="353"/>
      <c r="I135" s="354"/>
      <c r="J135" s="438"/>
      <c r="N135" s="438"/>
      <c r="O135" s="427"/>
      <c r="P135" s="427"/>
      <c r="Q135" s="427"/>
    </row>
    <row r="136" spans="2:17" s="9" customFormat="1" ht="15" customHeight="1" x14ac:dyDescent="0.25">
      <c r="B136" s="352"/>
      <c r="D136" s="435"/>
      <c r="F136" s="437"/>
      <c r="G136" s="365"/>
      <c r="H136" s="353"/>
      <c r="I136" s="354"/>
      <c r="J136" s="438"/>
      <c r="K136" s="3"/>
      <c r="N136" s="438"/>
      <c r="O136" s="427"/>
      <c r="P136" s="427"/>
      <c r="Q136" s="427"/>
    </row>
    <row r="137" spans="2:17" s="9" customFormat="1" ht="15" customHeight="1" x14ac:dyDescent="0.25">
      <c r="B137" s="352"/>
      <c r="D137" s="435"/>
      <c r="F137" s="437"/>
      <c r="G137" s="365"/>
      <c r="H137" s="353"/>
      <c r="I137" s="354"/>
      <c r="J137" s="438"/>
      <c r="K137" s="3"/>
      <c r="N137" s="438"/>
      <c r="O137" s="427"/>
      <c r="P137" s="427"/>
      <c r="Q137" s="427"/>
    </row>
    <row r="138" spans="2:17" s="9" customFormat="1" ht="15" customHeight="1" x14ac:dyDescent="0.25">
      <c r="B138" s="352"/>
      <c r="D138" s="435"/>
      <c r="F138" s="437"/>
      <c r="G138" s="365"/>
      <c r="H138" s="353"/>
      <c r="I138" s="354"/>
      <c r="J138" s="438"/>
      <c r="K138" s="3"/>
      <c r="N138" s="438"/>
      <c r="O138" s="427"/>
      <c r="P138" s="427"/>
      <c r="Q138" s="427"/>
    </row>
    <row r="139" spans="2:17" s="9" customFormat="1" ht="15" customHeight="1" x14ac:dyDescent="0.25">
      <c r="B139" s="352"/>
      <c r="D139" s="435"/>
      <c r="F139" s="437"/>
      <c r="G139" s="365"/>
      <c r="H139" s="353"/>
      <c r="I139" s="354"/>
      <c r="J139" s="438"/>
      <c r="K139" s="3"/>
      <c r="N139" s="438"/>
      <c r="O139" s="427"/>
      <c r="P139" s="427"/>
      <c r="Q139" s="427"/>
    </row>
    <row r="140" spans="2:17" s="9" customFormat="1" ht="15" customHeight="1" x14ac:dyDescent="0.25">
      <c r="D140" s="435"/>
      <c r="F140" s="437"/>
      <c r="G140" s="365"/>
      <c r="H140" s="353"/>
      <c r="I140" s="354"/>
      <c r="J140" s="438"/>
      <c r="N140" s="438"/>
      <c r="O140" s="427"/>
      <c r="P140" s="427"/>
      <c r="Q140" s="427"/>
    </row>
    <row r="141" spans="2:17" s="9" customFormat="1" ht="15" customHeight="1" x14ac:dyDescent="0.25">
      <c r="B141" s="352"/>
      <c r="C141" s="3"/>
      <c r="D141" s="435"/>
      <c r="F141" s="437"/>
      <c r="G141" s="365"/>
      <c r="H141" s="353"/>
      <c r="I141" s="354"/>
      <c r="J141" s="438"/>
      <c r="N141" s="438"/>
      <c r="O141" s="427"/>
      <c r="P141" s="427"/>
      <c r="Q141" s="427"/>
    </row>
    <row r="142" spans="2:17" s="9" customFormat="1" ht="15" customHeight="1" x14ac:dyDescent="0.25">
      <c r="B142" s="352"/>
      <c r="C142" s="3"/>
      <c r="D142" s="435"/>
      <c r="F142" s="437"/>
      <c r="G142" s="365"/>
      <c r="H142" s="353"/>
      <c r="I142" s="354"/>
      <c r="J142" s="438"/>
      <c r="N142" s="438"/>
      <c r="O142" s="427"/>
      <c r="P142" s="427"/>
      <c r="Q142" s="427"/>
    </row>
    <row r="143" spans="2:17" s="9" customFormat="1" ht="15" customHeight="1" x14ac:dyDescent="0.25">
      <c r="B143" s="352"/>
      <c r="C143" s="3"/>
      <c r="D143" s="435"/>
      <c r="F143" s="437"/>
      <c r="G143" s="365"/>
      <c r="H143" s="353"/>
      <c r="I143" s="354"/>
      <c r="J143" s="438"/>
      <c r="N143" s="438"/>
      <c r="O143" s="427"/>
      <c r="P143" s="427"/>
      <c r="Q143" s="427"/>
    </row>
    <row r="144" spans="2:17" s="9" customFormat="1" ht="15" customHeight="1" x14ac:dyDescent="0.25">
      <c r="B144" s="352"/>
      <c r="C144" s="3"/>
      <c r="D144" s="435"/>
      <c r="F144" s="437"/>
      <c r="G144" s="365"/>
      <c r="H144" s="353"/>
      <c r="I144" s="354"/>
      <c r="J144" s="438"/>
      <c r="N144" s="438"/>
      <c r="O144" s="427"/>
      <c r="P144" s="427"/>
      <c r="Q144" s="427"/>
    </row>
    <row r="145" spans="4:17" s="9" customFormat="1" ht="15" customHeight="1" x14ac:dyDescent="0.25">
      <c r="D145" s="435"/>
      <c r="F145" s="437"/>
      <c r="G145" s="365"/>
      <c r="H145" s="353"/>
      <c r="I145" s="354"/>
      <c r="J145" s="438"/>
      <c r="L145" s="438"/>
      <c r="N145" s="438"/>
      <c r="O145" s="427"/>
      <c r="P145" s="427"/>
      <c r="Q145" s="427"/>
    </row>
    <row r="146" spans="4:17" s="9" customFormat="1" ht="15" customHeight="1" x14ac:dyDescent="0.25">
      <c r="D146" s="435"/>
      <c r="F146" s="437"/>
      <c r="G146" s="365"/>
      <c r="H146" s="353"/>
      <c r="I146" s="354"/>
      <c r="J146" s="438"/>
      <c r="L146" s="438"/>
      <c r="N146" s="438"/>
      <c r="O146" s="427"/>
      <c r="P146" s="427"/>
      <c r="Q146" s="427"/>
    </row>
    <row r="147" spans="4:17" s="9" customFormat="1" ht="15" customHeight="1" x14ac:dyDescent="0.25">
      <c r="D147" s="435"/>
      <c r="F147" s="437"/>
      <c r="G147" s="365"/>
      <c r="H147" s="353"/>
      <c r="I147" s="354"/>
      <c r="J147" s="438"/>
      <c r="L147" s="438"/>
      <c r="N147" s="438"/>
      <c r="O147" s="427"/>
      <c r="P147" s="427"/>
      <c r="Q147" s="427"/>
    </row>
    <row r="148" spans="4:17" s="9" customFormat="1" ht="15" customHeight="1" x14ac:dyDescent="0.25">
      <c r="D148" s="435"/>
      <c r="F148" s="437"/>
      <c r="G148" s="365"/>
      <c r="H148" s="353"/>
      <c r="I148" s="354"/>
      <c r="J148" s="438"/>
      <c r="L148" s="438"/>
      <c r="N148" s="438"/>
      <c r="O148" s="427"/>
      <c r="P148" s="427"/>
      <c r="Q148" s="427"/>
    </row>
    <row r="149" spans="4:17" s="9" customFormat="1" ht="15" customHeight="1" x14ac:dyDescent="0.25">
      <c r="D149" s="435"/>
      <c r="F149" s="437"/>
      <c r="G149" s="365"/>
      <c r="H149" s="353"/>
      <c r="I149" s="354"/>
      <c r="J149" s="438"/>
      <c r="L149" s="438"/>
      <c r="N149" s="438"/>
      <c r="O149" s="427"/>
      <c r="P149" s="427"/>
      <c r="Q149" s="427"/>
    </row>
    <row r="150" spans="4:17" s="9" customFormat="1" ht="15" customHeight="1" x14ac:dyDescent="0.25">
      <c r="D150" s="435"/>
      <c r="F150" s="437"/>
      <c r="G150" s="365"/>
      <c r="H150" s="353"/>
      <c r="I150" s="354"/>
      <c r="J150" s="438"/>
      <c r="L150" s="438"/>
      <c r="N150" s="438"/>
      <c r="O150" s="427"/>
      <c r="P150" s="427"/>
      <c r="Q150" s="427"/>
    </row>
  </sheetData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" id="{833FF6CB-C58A-4793-B026-DCDAAA4F47FB}">
            <xm:f>SUM(Примерочная!$J$7,Примерочная!$K$7,Примерочная!$L$7,Примерочная!$M$7,Примерочная!$N$7,Примерочная!$O$7)=5</xm:f>
            <x14:dxf>
              <fill>
                <gradientFill type="path" left="0.5" right="0.5" top="0.5" bottom="0.5">
                  <stop position="0">
                    <color rgb="FF1C1C1C"/>
                  </stop>
                  <stop position="1">
                    <color rgb="FFC00000"/>
                  </stop>
                </gradientFill>
              </fill>
            </x14:dxf>
          </x14:cfRule>
          <x14:cfRule type="expression" priority="17" id="{D7E8F172-0BE0-4F61-8A85-E1EBCA61DD21}">
            <xm:f>SUM(Примерочная!$J$7,Примерочная!$K$7,Примерочная!$L$7,Примерочная!$M$7,Примерочная!$N$7,Примерочная!$O$7)=4</xm:f>
            <x14:dxf>
              <fill>
                <gradientFill type="path" left="0.5" right="0.5" top="0.5" bottom="0.5">
                  <stop position="0">
                    <color rgb="FF1C1C1C"/>
                  </stop>
                  <stop position="1">
                    <color rgb="FFCC9900"/>
                  </stop>
                </gradientFill>
              </fill>
            </x14:dxf>
          </x14:cfRule>
          <x14:cfRule type="expression" priority="18" id="{635BE7D9-F1D3-4741-8833-409AD268A784}">
            <xm:f>SUM(Примерочная!$J$7,Примерочная!$K$7,Примерочная!$L$7,Примерочная!$M$7,Примерочная!$N$7,Примерочная!$O$7)=3</xm:f>
            <x14:dxf>
              <fill>
                <gradientFill type="path" left="0.5" right="0.5" top="0.5" bottom="0.5">
                  <stop position="0">
                    <color rgb="FF1C1C1C"/>
                  </stop>
                  <stop position="1">
                    <color rgb="FF00B050"/>
                  </stop>
                </gradientFill>
              </fill>
            </x14:dxf>
          </x14:cfRule>
          <x14:cfRule type="expression" priority="19" id="{5668E825-2055-4CD4-B4DE-BB54E22BA34F}">
            <xm:f>SUM(Примерочная!$J$7,Примерочная!$K$7,Примерочная!$L$7,Примерочная!$M$7,Примерочная!$N$7,Примерочная!$O$7)=2</xm:f>
            <x14:dxf>
              <fill>
                <gradientFill type="path" left="0.5" right="0.5" top="0.5" bottom="0.5">
                  <stop position="0">
                    <color rgb="FF1C1C1C"/>
                  </stop>
                  <stop position="1">
                    <color rgb="FF0070C0"/>
                  </stop>
                </gradientFill>
              </fill>
            </x14:dxf>
          </x14:cfRule>
          <x14:cfRule type="expression" priority="20" id="{224BBBA0-E89C-4DE0-95C3-F8DAC8BE0E46}">
            <xm:f>SUM(Примерочная!$J$7,Примерочная!$K$7,Примерочная!$L$7,Примерочная!$M$7,Примерочная!$N$7,Примерочная!$O$7)=1</xm:f>
            <x14:dxf>
              <fill>
                <gradientFill type="path" left="0.5" right="0.5" top="0.5" bottom="0.5">
                  <stop position="0">
                    <color rgb="FF1C1C1C"/>
                  </stop>
                  <stop position="1">
                    <color theme="0" tint="-0.1490218817712943"/>
                  </stop>
                </gradientFill>
              </fill>
            </x14:dxf>
          </x14:cfRule>
          <xm:sqref>B4:B11 B13:B20 B22:B29 B31</xm:sqref>
        </x14:conditionalFormatting>
        <x14:conditionalFormatting xmlns:xm="http://schemas.microsoft.com/office/excel/2006/main">
          <x14:cfRule type="expression" priority="11" id="{CE7AE1F9-6474-4C51-B53C-63A249C6CED6}">
            <xm:f>SUM(Примерочная!$J$11,Примерочная!$K$11,Примерочная!$L$11,Примерочная!$M$11,Примерочная!$N$11,Примерочная!$O$11)=5</xm:f>
            <x14:dxf>
              <fill>
                <gradientFill type="path" left="0.5" right="0.5" top="0.5" bottom="0.5">
                  <stop position="0">
                    <color rgb="FF1C1C1C"/>
                  </stop>
                  <stop position="1">
                    <color rgb="FFC00000"/>
                  </stop>
                </gradientFill>
              </fill>
            </x14:dxf>
          </x14:cfRule>
          <x14:cfRule type="expression" priority="12" id="{0CABEE6C-7252-4A08-9653-7E7AEF7362DE}">
            <xm:f>SUM(Примерочная!$J$11,Примерочная!$K$11,Примерочная!$L$11,Примерочная!$M$11,Примерочная!$N$11,Примерочная!$O$11)=4</xm:f>
            <x14:dxf>
              <fill>
                <gradientFill type="path" left="0.5" right="0.5" top="0.5" bottom="0.5">
                  <stop position="0">
                    <color rgb="FF1C1C1C"/>
                  </stop>
                  <stop position="1">
                    <color rgb="FFCC9900"/>
                  </stop>
                </gradientFill>
              </fill>
            </x14:dxf>
          </x14:cfRule>
          <x14:cfRule type="expression" priority="13" id="{69F7756A-AC97-4E40-BA08-FAED6EC1EE1C}">
            <xm:f>SUM(Примерочная!$J$11,Примерочная!$K$11,Примерочная!$L$11,Примерочная!$M$11,Примерочная!$N$11,Примерочная!$O$11)=3</xm:f>
            <x14:dxf>
              <fill>
                <gradientFill type="path" left="0.5" right="0.5" top="0.5" bottom="0.5">
                  <stop position="0">
                    <color rgb="FF1C1C1C"/>
                  </stop>
                  <stop position="1">
                    <color rgb="FF00B050"/>
                  </stop>
                </gradientFill>
              </fill>
            </x14:dxf>
          </x14:cfRule>
          <x14:cfRule type="expression" priority="14" id="{11D55958-4B31-4FF5-9EE3-D4E53698ADB5}">
            <xm:f>SUM(Примерочная!$J$11,Примерочная!$K$11,Примерочная!$L$11,Примерочная!$M$11,Примерочная!$N$11,Примерочная!$O$11)=2</xm:f>
            <x14:dxf>
              <fill>
                <gradientFill type="path" left="0.5" right="0.5" top="0.5" bottom="0.5">
                  <stop position="0">
                    <color rgb="FF1C1C1C"/>
                  </stop>
                  <stop position="1">
                    <color rgb="FF0070C0"/>
                  </stop>
                </gradientFill>
              </fill>
            </x14:dxf>
          </x14:cfRule>
          <x14:cfRule type="expression" priority="15" id="{07D08BF5-6D8E-4103-8F4B-68B85229EB4B}">
            <xm:f>SUM(Примерочная!$J$11,Примерочная!$K$11,Примерочная!$L$11,Примерочная!$M$11,Примерочная!$N$11,Примерочная!$O$11)=1</xm:f>
            <x14:dxf>
              <fill>
                <gradientFill type="path" left="0.5" right="0.5" top="0.5" bottom="0.5">
                  <stop position="0">
                    <color rgb="FF1C1C1C"/>
                  </stop>
                  <stop position="1">
                    <color theme="0" tint="-0.1490218817712943"/>
                  </stop>
                </gradientFill>
              </fill>
            </x14:dxf>
          </x14:cfRule>
          <xm:sqref>B35:B42 B44:B51 B53:B60 B62</xm:sqref>
        </x14:conditionalFormatting>
        <x14:conditionalFormatting xmlns:xm="http://schemas.microsoft.com/office/excel/2006/main">
          <x14:cfRule type="expression" priority="7" id="{09A6F1F8-12B2-453A-AE8E-BBA67A823B87}">
            <xm:f>SUM(Примерочная!$J$15,Примерочная!$K$15,Примерочная!$L$15,Примерочная!$M$15,Примерочная!$N$15,Примерочная!$O$15)=5</xm:f>
            <x14:dxf>
              <fill>
                <gradientFill type="path" left="0.5" right="0.5" top="0.5" bottom="0.5">
                  <stop position="0">
                    <color rgb="FF1C1C1C"/>
                  </stop>
                  <stop position="1">
                    <color rgb="FFC00000"/>
                  </stop>
                </gradientFill>
              </fill>
            </x14:dxf>
          </x14:cfRule>
          <x14:cfRule type="expression" priority="8" id="{E14CD173-91E5-48B0-894C-0478DD1752FB}">
            <xm:f>SUM(Примерочная!$J$15,Примерочная!$K$15,Примерочная!$L$15,Примерочная!$M$15,Примерочная!$N$15,Примерочная!$O$15)=3</xm:f>
            <x14:dxf>
              <fill>
                <gradientFill type="path" left="0.5" right="0.5" top="0.5" bottom="0.5">
                  <stop position="0">
                    <color rgb="FF1C1C1C"/>
                  </stop>
                  <stop position="1">
                    <color rgb="FF00B050"/>
                  </stop>
                </gradientFill>
              </fill>
            </x14:dxf>
          </x14:cfRule>
          <x14:cfRule type="expression" priority="9" id="{37EA8321-B936-43DA-B721-A87CCDCC9DD5}">
            <xm:f>SUM(Примерочная!$J$15,Примерочная!$K$15,Примерочная!$L$15,Примерочная!$M$15,Примерочная!$N$15,Примерочная!$O$15)=2</xm:f>
            <x14:dxf>
              <fill>
                <gradientFill type="path" left="0.5" right="0.5" top="0.5" bottom="0.5">
                  <stop position="0">
                    <color rgb="FF1C1C1C"/>
                  </stop>
                  <stop position="1">
                    <color rgb="FF0070C0"/>
                  </stop>
                </gradientFill>
              </fill>
            </x14:dxf>
          </x14:cfRule>
          <x14:cfRule type="expression" priority="10" id="{447407FD-6EBD-4D4F-94B5-6009014AB52B}">
            <xm:f>SUM(Примерочная!$J$15,Примерочная!$K$15,Примерочная!$L$15,Примерочная!$M$15,Примерочная!$N$15,Примерочная!$O$15)=1</xm:f>
            <x14:dxf>
              <fill>
                <gradientFill type="path" left="0.5" right="0.5" top="0.5" bottom="0.5">
                  <stop position="0">
                    <color rgb="FF1C1C1C"/>
                  </stop>
                  <stop position="1">
                    <color theme="0" tint="-0.1490218817712943"/>
                  </stop>
                </gradientFill>
              </fill>
            </x14:dxf>
          </x14:cfRule>
          <xm:sqref>B66:B73 B93 B84:B91 B75:B82</xm:sqref>
        </x14:conditionalFormatting>
        <x14:conditionalFormatting xmlns:xm="http://schemas.microsoft.com/office/excel/2006/main">
          <x14:cfRule type="expression" priority="6" id="{6362C674-AAFE-4B4B-BA57-CD220DDB74D3}">
            <xm:f>SUM(Примерочная!$J$15,Примерочная!$K$15,Примерочная!$L$15,Примерочная!$M$15,Примерочная!$N$15,Примерочная!$O$15)=4</xm:f>
            <x14:dxf>
              <fill>
                <gradientFill type="path" left="0.5" right="0.5" top="0.5" bottom="0.5">
                  <stop position="0">
                    <color rgb="FF1C1C1C"/>
                  </stop>
                  <stop position="1">
                    <color rgb="FFCC9900"/>
                  </stop>
                </gradientFill>
              </fill>
            </x14:dxf>
          </x14:cfRule>
          <xm:sqref>B66:B73 B93 B84:B91 B75:B82</xm:sqref>
        </x14:conditionalFormatting>
        <x14:conditionalFormatting xmlns:xm="http://schemas.microsoft.com/office/excel/2006/main">
          <x14:cfRule type="expression" priority="55" id="{F51ADD96-1832-48C6-B338-29A92EAE662C}">
            <xm:f>SUM(Примерочная!$J$22,Примерочная!$K$22,Примерочная!$L$22,Примерочная!$M$22,Примерочная!$N$22,Примерочная!$O$22)=5</xm:f>
            <x14:dxf>
              <fill>
                <gradientFill type="path" left="0.5" right="0.5" top="0.5" bottom="0.5">
                  <stop position="0">
                    <color theme="1"/>
                  </stop>
                  <stop position="1">
                    <color rgb="FFC00000"/>
                  </stop>
                </gradientFill>
              </fill>
            </x14:dxf>
          </x14:cfRule>
          <x14:cfRule type="expression" priority="56" id="{4612C161-9EA8-4F09-8967-4C56C398F004}">
            <xm:f>SUM(Примерочная!$J$22,Примерочная!$K$22,Примерочная!$L$22,Примерочная!$M$22,Примерочная!$N$22,Примерочная!$O$22)=4</xm:f>
            <x14:dxf>
              <fill>
                <gradientFill type="path" left="0.5" right="0.5" top="0.5" bottom="0.5">
                  <stop position="0">
                    <color theme="1"/>
                  </stop>
                  <stop position="1">
                    <color rgb="FFCC9900"/>
                  </stop>
                </gradientFill>
              </fill>
            </x14:dxf>
          </x14:cfRule>
          <x14:cfRule type="expression" priority="57" id="{7FAC68D5-65ED-4AFB-883A-6AFAE661B218}">
            <xm:f>SUM(Примерочная!$J$22,Примерочная!$K$22,Примерочная!$L$22,Примерочная!$M$22,Примерочная!$N$22,Примерочная!$O$22)=3</xm:f>
            <x14:dxf>
              <fill>
                <gradientFill type="path" left="0.5" right="0.5" top="0.5" bottom="0.5">
                  <stop position="0">
                    <color theme="1"/>
                  </stop>
                  <stop position="1">
                    <color rgb="FF00B050"/>
                  </stop>
                </gradientFill>
              </fill>
            </x14:dxf>
          </x14:cfRule>
          <x14:cfRule type="expression" priority="58" id="{A8E31BC0-A75C-4F8A-B580-A1933869561F}">
            <xm:f>SUM(Примерочная!$J$22,Примерочная!$K$22,Примерочная!$L$22,Примерочная!$M$22,Примерочная!$N$22,Примерочная!$O$22)=2</xm:f>
            <x14:dxf>
              <fill>
                <gradientFill type="path" left="0.5" right="0.5" top="0.5" bottom="0.5">
                  <stop position="0">
                    <color theme="1"/>
                  </stop>
                  <stop position="1">
                    <color rgb="FF0070C0"/>
                  </stop>
                </gradientFill>
              </fill>
            </x14:dxf>
          </x14:cfRule>
          <x14:cfRule type="expression" priority="59" id="{D25281EC-47E7-40AC-84C5-9C5FD86810B3}">
            <xm:f>SUM(Примерочная!$J$22,Примерочная!$K$22,Примерочная!$L$22,Примерочная!$M$22,Примерочная!$N$22,Примерочная!$O$22)=1</xm:f>
            <x14:dxf>
              <fill>
                <gradientFill type="path" left="0.5" right="0.5" top="0.5" bottom="0.5">
                  <stop position="0">
                    <color theme="1"/>
                  </stop>
                  <stop position="1">
                    <color theme="0" tint="-5.0965910824915313E-2"/>
                  </stop>
                </gradientFill>
              </fill>
            </x14:dxf>
          </x14:cfRule>
          <xm:sqref>B98:B104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5"/>
  <dimension ref="A1:BY441"/>
  <sheetViews>
    <sheetView showGridLines="0" zoomScale="70" zoomScaleNormal="70" workbookViewId="0">
      <selection activeCell="N41" sqref="N41"/>
    </sheetView>
  </sheetViews>
  <sheetFormatPr defaultRowHeight="15.75" x14ac:dyDescent="0.25"/>
  <cols>
    <col min="1" max="1" width="18.42578125" style="7" customWidth="1"/>
    <col min="2" max="2" width="21.42578125" style="7" customWidth="1"/>
    <col min="3" max="4" width="17.28515625" style="7" customWidth="1"/>
    <col min="5" max="5" width="17.7109375" style="7" customWidth="1"/>
    <col min="6" max="8" width="17.28515625" style="7" customWidth="1"/>
    <col min="9" max="9" width="20" style="7" customWidth="1"/>
    <col min="10" max="16" width="17.28515625" style="7" customWidth="1"/>
    <col min="17" max="17" width="17.7109375" style="7" customWidth="1"/>
    <col min="18" max="18" width="22.5703125" style="7" customWidth="1"/>
    <col min="19" max="19" width="17.5703125" style="7" customWidth="1"/>
    <col min="20" max="20" width="19" style="7" customWidth="1"/>
    <col min="21" max="21" width="19" style="142" customWidth="1"/>
    <col min="22" max="22" width="19" style="7" customWidth="1"/>
    <col min="23" max="23" width="19" style="142" customWidth="1"/>
    <col min="24" max="34" width="19" style="7" customWidth="1"/>
    <col min="35" max="35" width="19" style="142" customWidth="1"/>
    <col min="36" max="42" width="19" style="7" customWidth="1"/>
    <col min="43" max="43" width="19.7109375" style="7" customWidth="1"/>
    <col min="44" max="54" width="19" style="7" customWidth="1"/>
    <col min="55" max="56" width="19" style="3" customWidth="1"/>
    <col min="57" max="57" width="19" style="142" customWidth="1"/>
    <col min="58" max="58" width="19" style="7" customWidth="1"/>
    <col min="59" max="59" width="19.140625" style="7" customWidth="1"/>
    <col min="60" max="62" width="19" style="7" customWidth="1"/>
    <col min="63" max="63" width="19" style="141" customWidth="1"/>
    <col min="64" max="66" width="19" style="7" customWidth="1"/>
    <col min="67" max="67" width="22.42578125" style="7" customWidth="1"/>
    <col min="68" max="68" width="19" style="7" customWidth="1"/>
    <col min="69" max="69" width="19" style="142" customWidth="1"/>
    <col min="70" max="70" width="19" style="7" customWidth="1"/>
    <col min="71" max="71" width="19" style="142" customWidth="1"/>
    <col min="72" max="72" width="19" style="7" customWidth="1"/>
    <col min="73" max="73" width="19" style="142" customWidth="1"/>
    <col min="74" max="74" width="19" style="7" customWidth="1"/>
    <col min="75" max="75" width="19" style="142" customWidth="1"/>
    <col min="76" max="76" width="19" style="7" customWidth="1"/>
    <col min="77" max="77" width="19" style="142" customWidth="1"/>
    <col min="78" max="16384" width="9.140625" style="7"/>
  </cols>
  <sheetData>
    <row r="1" spans="1:77" s="4" customFormat="1" ht="24" thickBot="1" x14ac:dyDescent="0.3">
      <c r="A1" s="1809" t="s">
        <v>67</v>
      </c>
      <c r="B1" s="1810"/>
      <c r="C1" s="1810"/>
      <c r="D1" s="1810"/>
      <c r="E1" s="1810"/>
      <c r="F1" s="1810"/>
      <c r="G1" s="1810"/>
      <c r="H1" s="1810"/>
      <c r="I1" s="1810"/>
      <c r="J1" s="1810"/>
      <c r="K1" s="1810"/>
      <c r="L1" s="1810"/>
      <c r="M1" s="1810"/>
      <c r="N1" s="1810"/>
      <c r="O1" s="1810"/>
      <c r="Q1" s="1811" t="s">
        <v>116</v>
      </c>
      <c r="R1" s="1811"/>
      <c r="S1" s="1811"/>
      <c r="T1" s="1811"/>
      <c r="U1" s="1811"/>
      <c r="V1" s="8"/>
      <c r="W1" s="143"/>
      <c r="X1" s="8"/>
      <c r="Y1" s="8"/>
      <c r="Z1" s="8"/>
      <c r="AA1" s="8"/>
      <c r="AB1" s="8"/>
      <c r="AC1" s="8"/>
      <c r="AD1" s="5"/>
      <c r="AE1" s="1810" t="s">
        <v>126</v>
      </c>
      <c r="AF1" s="1810"/>
      <c r="AG1" s="1810"/>
      <c r="AH1" s="1810"/>
      <c r="AI1" s="1810"/>
      <c r="AJ1" s="1810"/>
      <c r="AK1" s="1810"/>
      <c r="AL1" s="1810"/>
      <c r="AM1" s="1810"/>
      <c r="AN1" s="1810"/>
      <c r="AO1" s="1810"/>
      <c r="AQ1" s="1808" t="s">
        <v>138</v>
      </c>
      <c r="AR1" s="1808"/>
      <c r="AS1" s="1808"/>
      <c r="AT1" s="1808"/>
      <c r="AU1" s="1808"/>
      <c r="AV1" s="8"/>
      <c r="BA1" s="1808" t="s">
        <v>152</v>
      </c>
      <c r="BB1" s="1808"/>
      <c r="BC1" s="1808"/>
      <c r="BD1" s="1808"/>
      <c r="BE1" s="1808"/>
      <c r="BG1" s="1808" t="s">
        <v>161</v>
      </c>
      <c r="BH1" s="1808"/>
      <c r="BI1" s="1808"/>
      <c r="BJ1" s="1808"/>
      <c r="BK1" s="1808"/>
      <c r="BM1" s="1808" t="s">
        <v>166</v>
      </c>
      <c r="BN1" s="1808"/>
      <c r="BO1" s="1808"/>
      <c r="BP1" s="1808"/>
      <c r="BQ1" s="1808"/>
      <c r="BR1" s="1808"/>
      <c r="BS1" s="1808"/>
      <c r="BT1" s="1808"/>
      <c r="BU1" s="1808"/>
      <c r="BV1" s="1808"/>
      <c r="BW1" s="1808"/>
      <c r="BX1" s="1808"/>
      <c r="BY1" s="1808"/>
    </row>
    <row r="2" spans="1:77" s="103" customFormat="1" ht="15" customHeight="1" thickBot="1" x14ac:dyDescent="0.3">
      <c r="A2" s="109" t="s">
        <v>67</v>
      </c>
      <c r="B2" s="104" t="s">
        <v>153</v>
      </c>
      <c r="C2" s="105" t="s">
        <v>495</v>
      </c>
      <c r="D2" s="275" t="s">
        <v>109</v>
      </c>
      <c r="E2" s="105" t="s">
        <v>496</v>
      </c>
      <c r="F2" s="287" t="s">
        <v>110</v>
      </c>
      <c r="G2" s="105" t="s">
        <v>499</v>
      </c>
      <c r="H2" s="275" t="s">
        <v>104</v>
      </c>
      <c r="I2" s="105" t="s">
        <v>534</v>
      </c>
      <c r="J2" s="275" t="s">
        <v>103</v>
      </c>
      <c r="K2" s="105" t="s">
        <v>551</v>
      </c>
      <c r="L2" s="275" t="s">
        <v>111</v>
      </c>
      <c r="M2" s="105" t="s">
        <v>552</v>
      </c>
      <c r="N2" s="275" t="s">
        <v>53</v>
      </c>
      <c r="O2" s="105" t="s">
        <v>553</v>
      </c>
      <c r="P2" s="4"/>
      <c r="Q2" s="137" t="s">
        <v>117</v>
      </c>
      <c r="R2" s="113" t="s">
        <v>153</v>
      </c>
      <c r="S2" s="131" t="s">
        <v>495</v>
      </c>
      <c r="T2" s="265" t="s">
        <v>1</v>
      </c>
      <c r="U2" s="259" t="s">
        <v>496</v>
      </c>
      <c r="V2" s="265" t="s">
        <v>0</v>
      </c>
      <c r="W2" s="259" t="s">
        <v>499</v>
      </c>
      <c r="X2" s="265" t="s">
        <v>119</v>
      </c>
      <c r="Y2" s="259" t="s">
        <v>534</v>
      </c>
      <c r="Z2" s="265" t="s">
        <v>382</v>
      </c>
      <c r="AA2" s="259" t="s">
        <v>551</v>
      </c>
      <c r="AB2" s="265" t="s">
        <v>118</v>
      </c>
      <c r="AC2" s="259" t="s">
        <v>552</v>
      </c>
      <c r="AD2" s="4"/>
      <c r="AE2" s="137" t="s">
        <v>127</v>
      </c>
      <c r="AF2" s="113" t="s">
        <v>153</v>
      </c>
      <c r="AG2" s="131" t="s">
        <v>495</v>
      </c>
      <c r="AH2" s="265" t="s">
        <v>31</v>
      </c>
      <c r="AI2" s="269" t="s">
        <v>496</v>
      </c>
      <c r="AM2" s="4"/>
      <c r="AN2" s="4"/>
      <c r="AO2" s="4"/>
      <c r="AP2" s="4"/>
      <c r="AQ2" s="137" t="s">
        <v>139</v>
      </c>
      <c r="AR2" s="113" t="s">
        <v>153</v>
      </c>
      <c r="AS2" s="131" t="s">
        <v>495</v>
      </c>
      <c r="AT2" s="324" t="s">
        <v>508</v>
      </c>
      <c r="AU2" s="324" t="s">
        <v>509</v>
      </c>
      <c r="AV2" s="325" t="s">
        <v>510</v>
      </c>
      <c r="AZ2" s="4"/>
      <c r="BA2" s="137" t="s">
        <v>146</v>
      </c>
      <c r="BB2" s="113" t="s">
        <v>153</v>
      </c>
      <c r="BC2" s="337" t="s">
        <v>495</v>
      </c>
      <c r="BD2" s="338" t="s">
        <v>539</v>
      </c>
      <c r="BE2" s="336" t="s">
        <v>496</v>
      </c>
      <c r="BG2" s="170" t="s">
        <v>162</v>
      </c>
      <c r="BH2" s="182" t="s">
        <v>153</v>
      </c>
      <c r="BI2" s="183" t="s">
        <v>495</v>
      </c>
      <c r="BJ2" s="182" t="s">
        <v>545</v>
      </c>
      <c r="BK2" s="230" t="s">
        <v>496</v>
      </c>
      <c r="BL2" s="4"/>
      <c r="BM2" s="220" t="s">
        <v>167</v>
      </c>
      <c r="BN2" s="222" t="s">
        <v>153</v>
      </c>
      <c r="BO2" s="223" t="s">
        <v>495</v>
      </c>
      <c r="BP2" s="216" t="s">
        <v>103</v>
      </c>
      <c r="BQ2" s="233" t="s">
        <v>496</v>
      </c>
      <c r="BR2" s="216" t="s">
        <v>537</v>
      </c>
      <c r="BS2" s="233" t="s">
        <v>499</v>
      </c>
      <c r="BT2" s="221" t="s">
        <v>550</v>
      </c>
      <c r="BU2" s="248" t="s">
        <v>534</v>
      </c>
      <c r="BV2" s="224" t="s">
        <v>111</v>
      </c>
      <c r="BW2" s="249" t="s">
        <v>552</v>
      </c>
      <c r="BX2" s="224" t="s">
        <v>53</v>
      </c>
      <c r="BY2" s="248" t="s">
        <v>554</v>
      </c>
    </row>
    <row r="3" spans="1:77" x14ac:dyDescent="0.25">
      <c r="A3" s="107">
        <v>0</v>
      </c>
      <c r="B3" s="107">
        <v>0</v>
      </c>
      <c r="C3" s="285">
        <v>0</v>
      </c>
      <c r="D3" s="290">
        <v>0</v>
      </c>
      <c r="E3" s="291">
        <v>0</v>
      </c>
      <c r="F3" s="108"/>
      <c r="G3" s="284">
        <v>0</v>
      </c>
      <c r="H3" s="277"/>
      <c r="I3" s="278">
        <v>0</v>
      </c>
      <c r="J3" s="277"/>
      <c r="K3" s="278">
        <v>0</v>
      </c>
      <c r="L3" s="277"/>
      <c r="M3" s="278">
        <v>0</v>
      </c>
      <c r="N3" s="277"/>
      <c r="O3" s="278">
        <v>0</v>
      </c>
      <c r="Q3" s="115">
        <v>0</v>
      </c>
      <c r="R3" s="116">
        <v>0</v>
      </c>
      <c r="S3" s="146">
        <v>0</v>
      </c>
      <c r="T3" s="268">
        <v>0</v>
      </c>
      <c r="U3" s="308">
        <v>0</v>
      </c>
      <c r="V3" s="268">
        <v>0</v>
      </c>
      <c r="W3" s="308">
        <v>0</v>
      </c>
      <c r="X3" s="268">
        <v>0</v>
      </c>
      <c r="Y3" s="308">
        <v>0</v>
      </c>
      <c r="Z3" s="268">
        <v>0</v>
      </c>
      <c r="AA3" s="308">
        <v>0</v>
      </c>
      <c r="AB3" s="268">
        <v>0</v>
      </c>
      <c r="AC3" s="308">
        <v>0</v>
      </c>
      <c r="AE3" s="115">
        <v>0</v>
      </c>
      <c r="AF3" s="116">
        <v>0</v>
      </c>
      <c r="AG3" s="146">
        <v>0</v>
      </c>
      <c r="AH3" s="268">
        <v>0</v>
      </c>
      <c r="AI3" s="308">
        <v>0</v>
      </c>
      <c r="AQ3" s="115">
        <v>0</v>
      </c>
      <c r="AR3" s="132">
        <v>0</v>
      </c>
      <c r="AS3" s="146">
        <v>0</v>
      </c>
      <c r="AT3" s="326">
        <v>0</v>
      </c>
      <c r="AU3" s="327">
        <v>0</v>
      </c>
      <c r="AV3" s="328">
        <v>0</v>
      </c>
      <c r="BA3" s="124">
        <v>0</v>
      </c>
      <c r="BB3" s="125">
        <v>0</v>
      </c>
      <c r="BC3" s="299">
        <v>0</v>
      </c>
      <c r="BD3" s="260"/>
      <c r="BE3" s="322">
        <v>0</v>
      </c>
      <c r="BG3" s="110">
        <v>0</v>
      </c>
      <c r="BH3" s="186">
        <v>0</v>
      </c>
      <c r="BI3" s="187">
        <v>0</v>
      </c>
      <c r="BJ3" s="184"/>
      <c r="BK3" s="231">
        <v>0</v>
      </c>
      <c r="BM3" s="207">
        <v>0</v>
      </c>
      <c r="BN3" s="203">
        <v>0</v>
      </c>
      <c r="BO3" s="210">
        <v>0</v>
      </c>
      <c r="BP3" s="172"/>
      <c r="BQ3" s="234">
        <v>0</v>
      </c>
      <c r="BR3" s="172"/>
      <c r="BS3" s="246">
        <v>0</v>
      </c>
      <c r="BT3" s="225"/>
      <c r="BU3" s="242">
        <v>0</v>
      </c>
      <c r="BV3" s="172"/>
      <c r="BW3" s="234">
        <v>0</v>
      </c>
      <c r="BX3" s="172"/>
      <c r="BY3" s="242">
        <v>0</v>
      </c>
    </row>
    <row r="4" spans="1:77" x14ac:dyDescent="0.25">
      <c r="A4" s="120">
        <v>1</v>
      </c>
      <c r="B4" s="100">
        <v>1000</v>
      </c>
      <c r="C4" s="101">
        <f>Таблица_навык_оружие[[#This Row],[опыт]]+0</f>
        <v>1000</v>
      </c>
      <c r="D4" s="292">
        <v>1</v>
      </c>
      <c r="E4" s="293">
        <f>SUM(D4+0)</f>
        <v>1</v>
      </c>
      <c r="F4" s="106">
        <v>0</v>
      </c>
      <c r="G4" s="280">
        <f>Таблица_навык_оружие[[#This Row],[урон]]+0</f>
        <v>0</v>
      </c>
      <c r="H4" s="279">
        <v>0</v>
      </c>
      <c r="I4" s="280">
        <f>Таблица_навык_оружие[[#This Row],[урон]]+0</f>
        <v>0</v>
      </c>
      <c r="J4" s="279">
        <v>0</v>
      </c>
      <c r="K4" s="280">
        <f>Таблица_навык_оружие[[#This Row],[урон]]+0</f>
        <v>0</v>
      </c>
      <c r="L4" s="279">
        <v>0</v>
      </c>
      <c r="M4" s="280">
        <f>Таблица_навык_оружие[[#This Row],[урон]]+0</f>
        <v>0</v>
      </c>
      <c r="N4" s="279">
        <v>0</v>
      </c>
      <c r="O4" s="280">
        <f>Таблица_навык_оружие[[#This Row],[урон]]+0</f>
        <v>0</v>
      </c>
      <c r="Q4" s="115">
        <v>1</v>
      </c>
      <c r="R4" s="116">
        <v>1000</v>
      </c>
      <c r="S4" s="146">
        <f>R4+0</f>
        <v>1000</v>
      </c>
      <c r="T4" s="260"/>
      <c r="U4" s="261">
        <f>T4+0</f>
        <v>0</v>
      </c>
      <c r="V4" s="268"/>
      <c r="W4" s="308">
        <f>V4+0</f>
        <v>0</v>
      </c>
      <c r="X4" s="268"/>
      <c r="Y4" s="308">
        <f>X4+0</f>
        <v>0</v>
      </c>
      <c r="Z4" s="268"/>
      <c r="AA4" s="308">
        <f>Z4+0</f>
        <v>0</v>
      </c>
      <c r="AB4" s="268"/>
      <c r="AC4" s="308">
        <f>AB4+0</f>
        <v>0</v>
      </c>
      <c r="AE4" s="115">
        <v>1</v>
      </c>
      <c r="AF4" s="116">
        <v>1000</v>
      </c>
      <c r="AG4" s="146">
        <f>Таблица_навык_спринтер[[#This Row],[опыт]]+AG3</f>
        <v>1000</v>
      </c>
      <c r="AH4" s="268">
        <v>1</v>
      </c>
      <c r="AI4" s="308">
        <f>Таблица_навык_спринтер[[#This Row],[ОД]]+AI3</f>
        <v>1</v>
      </c>
      <c r="AQ4" s="147">
        <v>1</v>
      </c>
      <c r="AR4" s="132">
        <v>1000</v>
      </c>
      <c r="AS4" s="146">
        <f>Таблица_навык_следопыт[[#This Row],[опыт]]+0</f>
        <v>1000</v>
      </c>
      <c r="AT4" s="329">
        <v>0.2</v>
      </c>
      <c r="AU4" s="123">
        <v>0</v>
      </c>
      <c r="AV4" s="261">
        <v>0</v>
      </c>
      <c r="BA4" s="124">
        <v>1</v>
      </c>
      <c r="BB4" s="125">
        <v>1000</v>
      </c>
      <c r="BC4" s="299">
        <f>Таблица_тренинг_С[[#This Row],[опыт]]+BC3</f>
        <v>1000</v>
      </c>
      <c r="BD4" s="260">
        <v>0.08</v>
      </c>
      <c r="BE4" s="322">
        <f>Таблица_тренинг_С[[#This Row],[сила2]]+BE3</f>
        <v>0.08</v>
      </c>
      <c r="BG4" s="130">
        <v>1</v>
      </c>
      <c r="BH4" s="186">
        <v>3000</v>
      </c>
      <c r="BI4" s="187">
        <f>Таблица_навык_переработка[[#This Row],[опыт]]+BI3</f>
        <v>3000</v>
      </c>
      <c r="BJ4" s="184">
        <v>0.02</v>
      </c>
      <c r="BK4" s="231">
        <f>Таблица_навык_переработка[[#This Row],[эфф. Переработки]]+BK3</f>
        <v>0.02</v>
      </c>
      <c r="BM4" s="207">
        <v>1</v>
      </c>
      <c r="BN4" s="203">
        <v>1000</v>
      </c>
      <c r="BO4" s="210">
        <f>Таблица_навык_стрелок[[#This Row],[опыт]]+BO3</f>
        <v>1000</v>
      </c>
      <c r="BP4" s="172">
        <v>0.01</v>
      </c>
      <c r="BQ4" s="234">
        <f>Таблица_навык_стрелок[[#This Row],[точность]]+BQ3</f>
        <v>0.01</v>
      </c>
      <c r="BR4" s="172"/>
      <c r="BS4" s="246">
        <f>Таблица_навык_стрелок[[#This Row],[крит. Урон]]+BS3</f>
        <v>0</v>
      </c>
      <c r="BT4" s="225"/>
      <c r="BU4" s="242">
        <f>Таблица_навык_стрелок[[#This Row],[крит. Поп]]+BU3</f>
        <v>0</v>
      </c>
      <c r="BV4" s="172"/>
      <c r="BW4" s="234">
        <f>Таблица_навык_стрелок[[#This Row],[дальность]]+BW3</f>
        <v>0</v>
      </c>
      <c r="BX4" s="172"/>
      <c r="BY4" s="242">
        <f>Таблица_навык_стрелок[[#This Row],[урон]]+BY3</f>
        <v>0</v>
      </c>
    </row>
    <row r="5" spans="1:77" x14ac:dyDescent="0.25">
      <c r="A5" s="120">
        <v>2</v>
      </c>
      <c r="B5" s="100">
        <v>2000</v>
      </c>
      <c r="C5" s="101">
        <f>Таблица_навык_оружие[[#This Row],[опыт]]+C4</f>
        <v>3000</v>
      </c>
      <c r="D5" s="292">
        <v>1</v>
      </c>
      <c r="E5" s="293">
        <f>SUM(D5+E4)</f>
        <v>2</v>
      </c>
      <c r="F5" s="106">
        <v>0</v>
      </c>
      <c r="G5" s="280">
        <f>Таблица_навык_оружие[[#This Row],[урон]]+G4</f>
        <v>0</v>
      </c>
      <c r="H5" s="279">
        <v>0</v>
      </c>
      <c r="I5" s="280">
        <f>Таблица_навык_оружие[[#This Row],[урон]]+I4</f>
        <v>0</v>
      </c>
      <c r="J5" s="279">
        <v>0</v>
      </c>
      <c r="K5" s="280">
        <f>Таблица_навык_оружие[[#This Row],[урон]]+K4</f>
        <v>0</v>
      </c>
      <c r="L5" s="279">
        <v>0</v>
      </c>
      <c r="M5" s="280">
        <f>Таблица_навык_оружие[[#This Row],[урон]]+M4</f>
        <v>0</v>
      </c>
      <c r="N5" s="279">
        <v>0</v>
      </c>
      <c r="O5" s="280">
        <f>Таблица_навык_оружие[[#This Row],[урон]]+O4</f>
        <v>0</v>
      </c>
      <c r="Q5" s="115">
        <v>2</v>
      </c>
      <c r="R5" s="116">
        <v>2000</v>
      </c>
      <c r="S5" s="146">
        <f>R5+S4</f>
        <v>3000</v>
      </c>
      <c r="T5" s="260">
        <v>0.01</v>
      </c>
      <c r="U5" s="261">
        <f>T5+U4</f>
        <v>0.01</v>
      </c>
      <c r="V5" s="268">
        <v>1</v>
      </c>
      <c r="W5" s="308">
        <f>V5+W4</f>
        <v>1</v>
      </c>
      <c r="X5" s="268">
        <v>1</v>
      </c>
      <c r="Y5" s="308">
        <f>X5+Y4</f>
        <v>1</v>
      </c>
      <c r="Z5" s="268">
        <v>1</v>
      </c>
      <c r="AA5" s="308">
        <f>Z5+AA4</f>
        <v>1</v>
      </c>
      <c r="AB5" s="268">
        <v>1</v>
      </c>
      <c r="AC5" s="308">
        <f>AB5+AC4</f>
        <v>1</v>
      </c>
      <c r="AE5" s="115">
        <v>2</v>
      </c>
      <c r="AF5" s="116">
        <v>7000</v>
      </c>
      <c r="AG5" s="146">
        <f>Таблица_навык_спринтер[[#This Row],[опыт]]+AG4</f>
        <v>8000</v>
      </c>
      <c r="AH5" s="268">
        <v>1</v>
      </c>
      <c r="AI5" s="308">
        <f>Таблица_навык_спринтер[[#This Row],[ОД]]+AI4</f>
        <v>2</v>
      </c>
      <c r="AQ5" s="115">
        <v>2</v>
      </c>
      <c r="AR5" s="132">
        <v>2000</v>
      </c>
      <c r="AS5" s="146">
        <f>Таблица_навык_следопыт[[#This Row],[опыт]]+AS4</f>
        <v>3000</v>
      </c>
      <c r="AT5" s="329">
        <v>0.4</v>
      </c>
      <c r="AU5" s="123">
        <v>0</v>
      </c>
      <c r="AV5" s="261">
        <v>0</v>
      </c>
      <c r="BA5" s="124">
        <v>2</v>
      </c>
      <c r="BB5" s="125">
        <v>2000</v>
      </c>
      <c r="BC5" s="299">
        <f>Таблица_тренинг_С[[#This Row],[опыт]]+BC4</f>
        <v>3000</v>
      </c>
      <c r="BD5" s="260">
        <v>0.08</v>
      </c>
      <c r="BE5" s="322">
        <f>Таблица_тренинг_С[[#This Row],[сила2]]+BE4</f>
        <v>0.16</v>
      </c>
      <c r="BG5" s="110">
        <v>2</v>
      </c>
      <c r="BH5" s="186">
        <v>5000</v>
      </c>
      <c r="BI5" s="187">
        <f>Таблица_навык_переработка[[#This Row],[опыт]]+BI4</f>
        <v>8000</v>
      </c>
      <c r="BJ5" s="184">
        <v>0.02</v>
      </c>
      <c r="BK5" s="231">
        <f>Таблица_навык_переработка[[#This Row],[эфф. Переработки]]+BK4</f>
        <v>0.04</v>
      </c>
      <c r="BM5" s="207">
        <v>2</v>
      </c>
      <c r="BN5" s="203">
        <v>2000</v>
      </c>
      <c r="BO5" s="210">
        <f>Таблица_навык_стрелок[[#This Row],[опыт]]+BO4</f>
        <v>3000</v>
      </c>
      <c r="BP5" s="172"/>
      <c r="BQ5" s="234">
        <f>Таблица_навык_стрелок[[#This Row],[точность]]+BQ4</f>
        <v>0.01</v>
      </c>
      <c r="BR5" s="172">
        <v>0.01</v>
      </c>
      <c r="BS5" s="246">
        <f>Таблица_навык_стрелок[[#This Row],[крит. Урон]]+BS4</f>
        <v>0.01</v>
      </c>
      <c r="BT5" s="225"/>
      <c r="BU5" s="242">
        <f>Таблица_навык_стрелок[[#This Row],[крит. Поп]]+BU4</f>
        <v>0</v>
      </c>
      <c r="BV5" s="172"/>
      <c r="BW5" s="234">
        <f>Таблица_навык_стрелок[[#This Row],[дальность]]+BW4</f>
        <v>0</v>
      </c>
      <c r="BX5" s="172"/>
      <c r="BY5" s="242">
        <f>Таблица_навык_стрелок[[#This Row],[урон]]+BY4</f>
        <v>0</v>
      </c>
    </row>
    <row r="6" spans="1:77" x14ac:dyDescent="0.25">
      <c r="A6" s="120">
        <v>3</v>
      </c>
      <c r="B6" s="100">
        <v>3000</v>
      </c>
      <c r="C6" s="101">
        <f>Таблица_навык_оружие[[#This Row],[опыт]]+C5</f>
        <v>6000</v>
      </c>
      <c r="D6" s="292">
        <v>1</v>
      </c>
      <c r="E6" s="293">
        <f>SUM(D6+E5)</f>
        <v>3</v>
      </c>
      <c r="F6" s="106">
        <v>0</v>
      </c>
      <c r="G6" s="280">
        <f>Таблица_навык_оружие[[#This Row],[урон]]+G5</f>
        <v>0</v>
      </c>
      <c r="H6" s="279">
        <v>0</v>
      </c>
      <c r="I6" s="280">
        <f>Таблица_навык_оружие[[#This Row],[урон]]+I5</f>
        <v>0</v>
      </c>
      <c r="J6" s="279">
        <v>0</v>
      </c>
      <c r="K6" s="280">
        <f>Таблица_навык_оружие[[#This Row],[урон]]+K5</f>
        <v>0</v>
      </c>
      <c r="L6" s="279">
        <v>0</v>
      </c>
      <c r="M6" s="280">
        <f>Таблица_навык_оружие[[#This Row],[урон]]+M5</f>
        <v>0</v>
      </c>
      <c r="N6" s="279">
        <v>0</v>
      </c>
      <c r="O6" s="280">
        <f>Таблица_навык_оружие[[#This Row],[урон]]+O5</f>
        <v>0</v>
      </c>
      <c r="Q6" s="115">
        <v>3</v>
      </c>
      <c r="R6" s="116">
        <v>3000</v>
      </c>
      <c r="S6" s="146">
        <f t="shared" ref="S6:S33" si="0">R6+S5</f>
        <v>6000</v>
      </c>
      <c r="T6" s="260"/>
      <c r="U6" s="261">
        <f t="shared" ref="U6:U33" si="1">T6+U5</f>
        <v>0.01</v>
      </c>
      <c r="V6" s="268"/>
      <c r="W6" s="308">
        <f t="shared" ref="W6:W33" si="2">V6+W5</f>
        <v>1</v>
      </c>
      <c r="X6" s="268"/>
      <c r="Y6" s="308">
        <f t="shared" ref="Y6:Y33" si="3">X6+Y5</f>
        <v>1</v>
      </c>
      <c r="Z6" s="268"/>
      <c r="AA6" s="308">
        <f t="shared" ref="AA6:AA33" si="4">Z6+AA5</f>
        <v>1</v>
      </c>
      <c r="AB6" s="268"/>
      <c r="AC6" s="308">
        <f t="shared" ref="AC6:AC33" si="5">AB6+AC5</f>
        <v>1</v>
      </c>
      <c r="AE6" s="115">
        <v>3</v>
      </c>
      <c r="AF6" s="116">
        <v>12000</v>
      </c>
      <c r="AG6" s="146">
        <f>Таблица_навык_спринтер[[#This Row],[опыт]]+AG5</f>
        <v>20000</v>
      </c>
      <c r="AH6" s="268">
        <v>1</v>
      </c>
      <c r="AI6" s="308">
        <f>Таблица_навык_спринтер[[#This Row],[ОД]]+AI5</f>
        <v>3</v>
      </c>
      <c r="AQ6" s="147">
        <v>3</v>
      </c>
      <c r="AR6" s="132">
        <v>4000</v>
      </c>
      <c r="AS6" s="146">
        <f>Таблица_навык_следопыт[[#This Row],[опыт]]+AS5</f>
        <v>7000</v>
      </c>
      <c r="AT6" s="329">
        <v>0.6</v>
      </c>
      <c r="AU6" s="123">
        <v>0</v>
      </c>
      <c r="AV6" s="261">
        <v>0</v>
      </c>
      <c r="BA6" s="124">
        <v>3</v>
      </c>
      <c r="BB6" s="125">
        <v>4000</v>
      </c>
      <c r="BC6" s="299">
        <f>Таблица_тренинг_С[[#This Row],[опыт]]+BC5</f>
        <v>7000</v>
      </c>
      <c r="BD6" s="260">
        <v>0.08</v>
      </c>
      <c r="BE6" s="322">
        <f>Таблица_тренинг_С[[#This Row],[сила2]]+BE5</f>
        <v>0.24</v>
      </c>
      <c r="BG6" s="130">
        <v>3</v>
      </c>
      <c r="BH6" s="186">
        <v>9000</v>
      </c>
      <c r="BI6" s="187">
        <f>Таблица_навык_переработка[[#This Row],[опыт]]+BI5</f>
        <v>17000</v>
      </c>
      <c r="BJ6" s="184">
        <v>0.02</v>
      </c>
      <c r="BK6" s="231">
        <f>Таблица_навык_переработка[[#This Row],[эфф. Переработки]]+BK5</f>
        <v>0.06</v>
      </c>
      <c r="BM6" s="207">
        <v>3</v>
      </c>
      <c r="BN6" s="203">
        <v>4000</v>
      </c>
      <c r="BO6" s="210">
        <f>Таблица_навык_стрелок[[#This Row],[опыт]]+BO5</f>
        <v>7000</v>
      </c>
      <c r="BP6" s="172"/>
      <c r="BQ6" s="234">
        <f>Таблица_навык_стрелок[[#This Row],[точность]]+BQ5</f>
        <v>0.01</v>
      </c>
      <c r="BR6" s="172"/>
      <c r="BS6" s="246">
        <f>Таблица_навык_стрелок[[#This Row],[крит. Урон]]+BS5</f>
        <v>0.01</v>
      </c>
      <c r="BT6" s="225">
        <v>0.01</v>
      </c>
      <c r="BU6" s="242">
        <f>Таблица_навык_стрелок[[#This Row],[крит. Поп]]+BU5</f>
        <v>0.01</v>
      </c>
      <c r="BV6" s="172"/>
      <c r="BW6" s="234">
        <f>Таблица_навык_стрелок[[#This Row],[дальность]]+BW5</f>
        <v>0</v>
      </c>
      <c r="BX6" s="172"/>
      <c r="BY6" s="242">
        <f>Таблица_навык_стрелок[[#This Row],[урон]]+BY5</f>
        <v>0</v>
      </c>
    </row>
    <row r="7" spans="1:77" x14ac:dyDescent="0.25">
      <c r="A7" s="120">
        <v>4</v>
      </c>
      <c r="B7" s="100">
        <v>4000</v>
      </c>
      <c r="C7" s="101">
        <f>Таблица_навык_оружие[[#This Row],[опыт]]+C6</f>
        <v>10000</v>
      </c>
      <c r="D7" s="292">
        <v>1</v>
      </c>
      <c r="E7" s="293">
        <f>SUM(D7+E6)</f>
        <v>4</v>
      </c>
      <c r="F7" s="106">
        <v>0</v>
      </c>
      <c r="G7" s="280">
        <f>Таблица_навык_оружие[[#This Row],[урон]]+G6</f>
        <v>0</v>
      </c>
      <c r="H7" s="279">
        <v>0</v>
      </c>
      <c r="I7" s="280">
        <f>Таблица_навык_оружие[[#This Row],[урон]]+I6</f>
        <v>0</v>
      </c>
      <c r="J7" s="279">
        <v>0</v>
      </c>
      <c r="K7" s="280">
        <f>Таблица_навык_оружие[[#This Row],[урон]]+K6</f>
        <v>0</v>
      </c>
      <c r="L7" s="279">
        <v>0</v>
      </c>
      <c r="M7" s="280">
        <f>Таблица_навык_оружие[[#This Row],[урон]]+M6</f>
        <v>0</v>
      </c>
      <c r="N7" s="279">
        <v>0</v>
      </c>
      <c r="O7" s="280">
        <f>Таблица_навык_оружие[[#This Row],[урон]]+O6</f>
        <v>0</v>
      </c>
      <c r="Q7" s="115">
        <v>4</v>
      </c>
      <c r="R7" s="116">
        <v>4000</v>
      </c>
      <c r="S7" s="146">
        <f t="shared" si="0"/>
        <v>10000</v>
      </c>
      <c r="T7" s="260">
        <v>0.01</v>
      </c>
      <c r="U7" s="261">
        <f t="shared" si="1"/>
        <v>0.02</v>
      </c>
      <c r="V7" s="268">
        <v>1</v>
      </c>
      <c r="W7" s="308">
        <f t="shared" si="2"/>
        <v>2</v>
      </c>
      <c r="X7" s="268">
        <v>1</v>
      </c>
      <c r="Y7" s="308">
        <f t="shared" si="3"/>
        <v>2</v>
      </c>
      <c r="Z7" s="268"/>
      <c r="AA7" s="308">
        <f t="shared" si="4"/>
        <v>1</v>
      </c>
      <c r="AB7" s="268"/>
      <c r="AC7" s="308">
        <f t="shared" si="5"/>
        <v>1</v>
      </c>
      <c r="AE7" s="115">
        <v>4</v>
      </c>
      <c r="AF7" s="116">
        <v>19000</v>
      </c>
      <c r="AG7" s="146">
        <f>Таблица_навык_спринтер[[#This Row],[опыт]]+AG6</f>
        <v>39000</v>
      </c>
      <c r="AH7" s="268">
        <v>1</v>
      </c>
      <c r="AI7" s="308">
        <f>Таблица_навык_спринтер[[#This Row],[ОД]]+AI6</f>
        <v>4</v>
      </c>
      <c r="AQ7" s="115">
        <v>4</v>
      </c>
      <c r="AR7" s="132">
        <v>4000</v>
      </c>
      <c r="AS7" s="146">
        <f>Таблица_навык_следопыт[[#This Row],[опыт]]+AS6</f>
        <v>11000</v>
      </c>
      <c r="AT7" s="329">
        <v>0.8</v>
      </c>
      <c r="AU7" s="123">
        <v>0</v>
      </c>
      <c r="AV7" s="261">
        <v>0</v>
      </c>
      <c r="BA7" s="124">
        <v>4</v>
      </c>
      <c r="BB7" s="125">
        <v>5000</v>
      </c>
      <c r="BC7" s="299">
        <f>Таблица_тренинг_С[[#This Row],[опыт]]+BC6</f>
        <v>12000</v>
      </c>
      <c r="BD7" s="260">
        <v>0.08</v>
      </c>
      <c r="BE7" s="322">
        <f>Таблица_тренинг_С[[#This Row],[сила2]]+BE6</f>
        <v>0.32</v>
      </c>
      <c r="BG7" s="110">
        <v>4</v>
      </c>
      <c r="BH7" s="186">
        <v>14000</v>
      </c>
      <c r="BI7" s="187">
        <f>Таблица_навык_переработка[[#This Row],[опыт]]+BI6</f>
        <v>31000</v>
      </c>
      <c r="BJ7" s="184">
        <v>0.02</v>
      </c>
      <c r="BK7" s="231">
        <f>Таблица_навык_переработка[[#This Row],[эфф. Переработки]]+BK6</f>
        <v>0.08</v>
      </c>
      <c r="BM7" s="207">
        <v>4</v>
      </c>
      <c r="BN7" s="203">
        <v>5000</v>
      </c>
      <c r="BO7" s="210">
        <f>Таблица_навык_стрелок[[#This Row],[опыт]]+BO6</f>
        <v>12000</v>
      </c>
      <c r="BP7" s="172"/>
      <c r="BQ7" s="234">
        <f>Таблица_навык_стрелок[[#This Row],[точность]]+BQ6</f>
        <v>0.01</v>
      </c>
      <c r="BR7" s="172"/>
      <c r="BS7" s="246">
        <f>Таблица_навык_стрелок[[#This Row],[крит. Урон]]+BS6</f>
        <v>0.01</v>
      </c>
      <c r="BT7" s="225"/>
      <c r="BU7" s="242">
        <f>Таблица_навык_стрелок[[#This Row],[крит. Поп]]+BU6</f>
        <v>0.01</v>
      </c>
      <c r="BV7" s="172">
        <v>0.01</v>
      </c>
      <c r="BW7" s="234">
        <f>Таблица_навык_стрелок[[#This Row],[дальность]]+BW6</f>
        <v>0.01</v>
      </c>
      <c r="BX7" s="172"/>
      <c r="BY7" s="242">
        <f>Таблица_навык_стрелок[[#This Row],[урон]]+BY6</f>
        <v>0</v>
      </c>
    </row>
    <row r="8" spans="1:77" x14ac:dyDescent="0.25">
      <c r="A8" s="120">
        <v>5</v>
      </c>
      <c r="B8" s="100">
        <v>6000</v>
      </c>
      <c r="C8" s="101">
        <f>Таблица_навык_оружие[[#This Row],[опыт]]+C7</f>
        <v>16000</v>
      </c>
      <c r="D8" s="292">
        <v>1</v>
      </c>
      <c r="E8" s="293">
        <f>SUM(D8+E7)</f>
        <v>5</v>
      </c>
      <c r="F8" s="106">
        <v>0</v>
      </c>
      <c r="G8" s="280">
        <f>Таблица_навык_оружие[[#This Row],[урон]]+G7</f>
        <v>0</v>
      </c>
      <c r="H8" s="279">
        <v>0</v>
      </c>
      <c r="I8" s="280">
        <f>Таблица_навык_оружие[[#This Row],[урон]]+I7</f>
        <v>0</v>
      </c>
      <c r="J8" s="279">
        <v>0</v>
      </c>
      <c r="K8" s="280">
        <f>Таблица_навык_оружие[[#This Row],[урон]]+K7</f>
        <v>0</v>
      </c>
      <c r="L8" s="279">
        <v>0</v>
      </c>
      <c r="M8" s="280">
        <f>Таблица_навык_оружие[[#This Row],[урон]]+M7</f>
        <v>0</v>
      </c>
      <c r="N8" s="279">
        <v>0</v>
      </c>
      <c r="O8" s="280">
        <f>Таблица_навык_оружие[[#This Row],[урон]]+O7</f>
        <v>0</v>
      </c>
      <c r="Q8" s="115">
        <v>5</v>
      </c>
      <c r="R8" s="116">
        <v>6000</v>
      </c>
      <c r="S8" s="146">
        <f t="shared" si="0"/>
        <v>16000</v>
      </c>
      <c r="T8" s="260">
        <v>0.01</v>
      </c>
      <c r="U8" s="261">
        <f t="shared" si="1"/>
        <v>0.03</v>
      </c>
      <c r="V8" s="268"/>
      <c r="W8" s="308">
        <f t="shared" si="2"/>
        <v>2</v>
      </c>
      <c r="X8" s="268">
        <v>1</v>
      </c>
      <c r="Y8" s="308">
        <f t="shared" si="3"/>
        <v>3</v>
      </c>
      <c r="Z8" s="268">
        <v>1</v>
      </c>
      <c r="AA8" s="308">
        <f t="shared" si="4"/>
        <v>2</v>
      </c>
      <c r="AB8" s="268">
        <v>1</v>
      </c>
      <c r="AC8" s="308">
        <f t="shared" si="5"/>
        <v>2</v>
      </c>
      <c r="AE8" s="115">
        <v>5</v>
      </c>
      <c r="AF8" s="116">
        <v>29000</v>
      </c>
      <c r="AG8" s="146">
        <f>Таблица_навык_спринтер[[#This Row],[опыт]]+AG7</f>
        <v>68000</v>
      </c>
      <c r="AH8" s="268">
        <v>1</v>
      </c>
      <c r="AI8" s="308">
        <f>Таблица_навык_спринтер[[#This Row],[ОД]]+AI7</f>
        <v>5</v>
      </c>
      <c r="AQ8" s="147">
        <v>5</v>
      </c>
      <c r="AR8" s="132">
        <v>8000</v>
      </c>
      <c r="AS8" s="146">
        <f>Таблица_навык_следопыт[[#This Row],[опыт]]+AS7</f>
        <v>19000</v>
      </c>
      <c r="AT8" s="329">
        <v>1</v>
      </c>
      <c r="AU8" s="123">
        <v>0</v>
      </c>
      <c r="AV8" s="261">
        <v>0</v>
      </c>
      <c r="BA8" s="124">
        <v>5</v>
      </c>
      <c r="BB8" s="125">
        <v>7000</v>
      </c>
      <c r="BC8" s="299">
        <f>Таблица_тренинг_С[[#This Row],[опыт]]+BC7</f>
        <v>19000</v>
      </c>
      <c r="BD8" s="260">
        <v>0.08</v>
      </c>
      <c r="BE8" s="322">
        <f>Таблица_тренинг_С[[#This Row],[сила2]]+BE7</f>
        <v>0.4</v>
      </c>
      <c r="BG8" s="130">
        <v>5</v>
      </c>
      <c r="BH8" s="186">
        <v>24000</v>
      </c>
      <c r="BI8" s="187">
        <f>Таблица_навык_переработка[[#This Row],[опыт]]+BI7</f>
        <v>55000</v>
      </c>
      <c r="BJ8" s="184">
        <v>0.02</v>
      </c>
      <c r="BK8" s="231">
        <f>Таблица_навык_переработка[[#This Row],[эфф. Переработки]]+BK7</f>
        <v>0.1</v>
      </c>
      <c r="BM8" s="207">
        <v>5</v>
      </c>
      <c r="BN8" s="203">
        <v>7000</v>
      </c>
      <c r="BO8" s="210">
        <f>Таблица_навык_стрелок[[#This Row],[опыт]]+BO7</f>
        <v>19000</v>
      </c>
      <c r="BP8" s="172"/>
      <c r="BQ8" s="234">
        <f>Таблица_навык_стрелок[[#This Row],[точность]]+BQ7</f>
        <v>0.01</v>
      </c>
      <c r="BR8" s="172"/>
      <c r="BS8" s="246">
        <f>Таблица_навык_стрелок[[#This Row],[крит. Урон]]+BS7</f>
        <v>0.01</v>
      </c>
      <c r="BT8" s="225"/>
      <c r="BU8" s="242">
        <f>Таблица_навык_стрелок[[#This Row],[крит. Поп]]+BU7</f>
        <v>0.01</v>
      </c>
      <c r="BV8" s="172"/>
      <c r="BW8" s="234">
        <f>Таблица_навык_стрелок[[#This Row],[дальность]]+BW7</f>
        <v>0.01</v>
      </c>
      <c r="BX8" s="172">
        <v>0.01</v>
      </c>
      <c r="BY8" s="242">
        <f>Таблица_навык_стрелок[[#This Row],[урон]]+BY7</f>
        <v>0.01</v>
      </c>
    </row>
    <row r="9" spans="1:77" x14ac:dyDescent="0.25">
      <c r="A9" s="120">
        <v>6</v>
      </c>
      <c r="B9" s="100">
        <v>8000</v>
      </c>
      <c r="C9" s="101">
        <f>Таблица_навык_оружие[[#This Row],[опыт]]+C8</f>
        <v>24000</v>
      </c>
      <c r="D9" s="292">
        <v>0</v>
      </c>
      <c r="E9" s="293">
        <f t="shared" ref="E9:E33" si="6">SUM(D9+E8)</f>
        <v>5</v>
      </c>
      <c r="F9" s="106">
        <v>0.01</v>
      </c>
      <c r="G9" s="280">
        <f>Таблица_навык_оружие[[#This Row],[урон]]+G8</f>
        <v>0.01</v>
      </c>
      <c r="H9" s="279">
        <v>0.01</v>
      </c>
      <c r="I9" s="280">
        <f>Таблица_навык_оружие[[#This Row],[урон]]+I8</f>
        <v>0.01</v>
      </c>
      <c r="J9" s="279">
        <v>0.01</v>
      </c>
      <c r="K9" s="280">
        <f>Таблица_навык_оружие[[#This Row],[урон]]+K8</f>
        <v>0.01</v>
      </c>
      <c r="L9" s="279">
        <v>0.01</v>
      </c>
      <c r="M9" s="280">
        <f>Таблица_навык_оружие[[#This Row],[урон]]+M8</f>
        <v>0.01</v>
      </c>
      <c r="N9" s="279">
        <v>0.01</v>
      </c>
      <c r="O9" s="280">
        <f>Таблица_навык_оружие[[#This Row],[урон]]+O8</f>
        <v>0.01</v>
      </c>
      <c r="Q9" s="115">
        <v>6</v>
      </c>
      <c r="R9" s="116">
        <v>8000</v>
      </c>
      <c r="S9" s="146">
        <f t="shared" si="0"/>
        <v>24000</v>
      </c>
      <c r="T9" s="260">
        <v>0.01</v>
      </c>
      <c r="U9" s="261">
        <f t="shared" si="1"/>
        <v>0.04</v>
      </c>
      <c r="V9" s="268">
        <v>1</v>
      </c>
      <c r="W9" s="308">
        <f t="shared" si="2"/>
        <v>3</v>
      </c>
      <c r="X9" s="268">
        <v>1</v>
      </c>
      <c r="Y9" s="308">
        <f t="shared" si="3"/>
        <v>4</v>
      </c>
      <c r="Z9" s="268"/>
      <c r="AA9" s="308">
        <f t="shared" si="4"/>
        <v>2</v>
      </c>
      <c r="AB9" s="268"/>
      <c r="AC9" s="308">
        <f t="shared" si="5"/>
        <v>2</v>
      </c>
      <c r="AE9" s="115">
        <v>6</v>
      </c>
      <c r="AF9" s="116">
        <v>45000</v>
      </c>
      <c r="AG9" s="146">
        <f>Таблица_навык_спринтер[[#This Row],[опыт]]+AG8</f>
        <v>113000</v>
      </c>
      <c r="AH9" s="268">
        <v>1</v>
      </c>
      <c r="AI9" s="308">
        <f>Таблица_навык_спринтер[[#This Row],[ОД]]+AI8</f>
        <v>6</v>
      </c>
      <c r="AQ9" s="115">
        <v>6</v>
      </c>
      <c r="AR9" s="132">
        <v>10000</v>
      </c>
      <c r="AS9" s="146">
        <f>Таблица_навык_следопыт[[#This Row],[опыт]]+AS8</f>
        <v>29000</v>
      </c>
      <c r="AT9" s="329">
        <v>1</v>
      </c>
      <c r="AU9" s="123">
        <v>0.2</v>
      </c>
      <c r="AV9" s="261">
        <v>0</v>
      </c>
      <c r="BA9" s="124">
        <v>6</v>
      </c>
      <c r="BB9" s="125">
        <v>11000</v>
      </c>
      <c r="BC9" s="299">
        <f>Таблица_тренинг_С[[#This Row],[опыт]]+BC8</f>
        <v>30000</v>
      </c>
      <c r="BD9" s="260">
        <v>0.08</v>
      </c>
      <c r="BE9" s="322">
        <f>Таблица_тренинг_С[[#This Row],[сила2]]+BE8</f>
        <v>0.48000000000000004</v>
      </c>
      <c r="BG9" s="110">
        <v>6</v>
      </c>
      <c r="BH9" s="186">
        <v>37000</v>
      </c>
      <c r="BI9" s="187">
        <f>Таблица_навык_переработка[[#This Row],[опыт]]+BI8</f>
        <v>92000</v>
      </c>
      <c r="BJ9" s="184">
        <v>0.03</v>
      </c>
      <c r="BK9" s="231">
        <f>Таблица_навык_переработка[[#This Row],[эфф. Переработки]]+BK8</f>
        <v>0.13</v>
      </c>
      <c r="BM9" s="207">
        <v>6</v>
      </c>
      <c r="BN9" s="203">
        <v>11000</v>
      </c>
      <c r="BO9" s="210">
        <f>Таблица_навык_стрелок[[#This Row],[опыт]]+BO8</f>
        <v>30000</v>
      </c>
      <c r="BP9" s="172">
        <v>0.02</v>
      </c>
      <c r="BQ9" s="234">
        <f>Таблица_навык_стрелок[[#This Row],[точность]]+BQ8</f>
        <v>0.03</v>
      </c>
      <c r="BR9" s="172"/>
      <c r="BS9" s="246">
        <f>Таблица_навык_стрелок[[#This Row],[крит. Урон]]+BS8</f>
        <v>0.01</v>
      </c>
      <c r="BT9" s="225"/>
      <c r="BU9" s="242">
        <f>Таблица_навык_стрелок[[#This Row],[крит. Поп]]+BU8</f>
        <v>0.01</v>
      </c>
      <c r="BV9" s="172"/>
      <c r="BW9" s="234">
        <f>Таблица_навык_стрелок[[#This Row],[дальность]]+BW8</f>
        <v>0.01</v>
      </c>
      <c r="BX9" s="172"/>
      <c r="BY9" s="242">
        <f>Таблица_навык_стрелок[[#This Row],[урон]]+BY8</f>
        <v>0.01</v>
      </c>
    </row>
    <row r="10" spans="1:77" x14ac:dyDescent="0.25">
      <c r="A10" s="120">
        <v>7</v>
      </c>
      <c r="B10" s="100">
        <v>11000</v>
      </c>
      <c r="C10" s="101">
        <f>Таблица_навык_оружие[[#This Row],[опыт]]+C9</f>
        <v>35000</v>
      </c>
      <c r="D10" s="292">
        <v>0</v>
      </c>
      <c r="E10" s="293">
        <f t="shared" si="6"/>
        <v>5</v>
      </c>
      <c r="F10" s="106">
        <v>0</v>
      </c>
      <c r="G10" s="280">
        <f>Таблица_навык_оружие[[#This Row],[урон]]+G9</f>
        <v>0.01</v>
      </c>
      <c r="H10" s="279">
        <v>0</v>
      </c>
      <c r="I10" s="280">
        <f>Таблица_навык_оружие[[#This Row],[урон]]+I9</f>
        <v>0.01</v>
      </c>
      <c r="J10" s="279">
        <v>0</v>
      </c>
      <c r="K10" s="280">
        <f>Таблица_навык_оружие[[#This Row],[урон]]+K9</f>
        <v>0.01</v>
      </c>
      <c r="L10" s="279">
        <v>0</v>
      </c>
      <c r="M10" s="280">
        <f>Таблица_навык_оружие[[#This Row],[урон]]+M9</f>
        <v>0.01</v>
      </c>
      <c r="N10" s="279">
        <v>0</v>
      </c>
      <c r="O10" s="280">
        <f>Таблица_навык_оружие[[#This Row],[урон]]+O9</f>
        <v>0.01</v>
      </c>
      <c r="Q10" s="115">
        <v>7</v>
      </c>
      <c r="R10" s="116">
        <v>11000</v>
      </c>
      <c r="S10" s="146">
        <f t="shared" si="0"/>
        <v>35000</v>
      </c>
      <c r="T10" s="260">
        <v>0.01</v>
      </c>
      <c r="U10" s="261">
        <f t="shared" si="1"/>
        <v>0.05</v>
      </c>
      <c r="V10" s="268"/>
      <c r="W10" s="308">
        <f t="shared" si="2"/>
        <v>3</v>
      </c>
      <c r="X10" s="268">
        <v>1</v>
      </c>
      <c r="Y10" s="308">
        <f t="shared" si="3"/>
        <v>5</v>
      </c>
      <c r="Z10" s="268">
        <v>1</v>
      </c>
      <c r="AA10" s="308">
        <f t="shared" si="4"/>
        <v>3</v>
      </c>
      <c r="AB10" s="268">
        <v>1</v>
      </c>
      <c r="AC10" s="308">
        <f t="shared" si="5"/>
        <v>3</v>
      </c>
      <c r="AE10" s="115">
        <v>7</v>
      </c>
      <c r="AF10" s="116">
        <v>69000</v>
      </c>
      <c r="AG10" s="146">
        <f>Таблица_навык_спринтер[[#This Row],[опыт]]+AG9</f>
        <v>182000</v>
      </c>
      <c r="AH10" s="268">
        <v>1</v>
      </c>
      <c r="AI10" s="308">
        <f>Таблица_навык_спринтер[[#This Row],[ОД]]+AI9</f>
        <v>7</v>
      </c>
      <c r="AQ10" s="147">
        <v>7</v>
      </c>
      <c r="AR10" s="132">
        <v>15000</v>
      </c>
      <c r="AS10" s="146">
        <f>Таблица_навык_следопыт[[#This Row],[опыт]]+AS9</f>
        <v>44000</v>
      </c>
      <c r="AT10" s="329">
        <v>1</v>
      </c>
      <c r="AU10" s="123">
        <v>0.4</v>
      </c>
      <c r="AV10" s="261">
        <v>0</v>
      </c>
      <c r="BA10" s="124">
        <v>7</v>
      </c>
      <c r="BB10" s="125">
        <v>16000</v>
      </c>
      <c r="BC10" s="299">
        <f>Таблица_тренинг_С[[#This Row],[опыт]]+BC9</f>
        <v>46000</v>
      </c>
      <c r="BD10" s="260">
        <v>0.08</v>
      </c>
      <c r="BE10" s="322">
        <f>Таблица_тренинг_С[[#This Row],[сила2]]+BE9</f>
        <v>0.56000000000000005</v>
      </c>
      <c r="BG10" s="130">
        <v>7</v>
      </c>
      <c r="BH10" s="186">
        <v>59000</v>
      </c>
      <c r="BI10" s="187">
        <f>Таблица_навык_переработка[[#This Row],[опыт]]+BI9</f>
        <v>151000</v>
      </c>
      <c r="BJ10" s="184">
        <v>0.03</v>
      </c>
      <c r="BK10" s="231">
        <f>Таблица_навык_переработка[[#This Row],[эфф. Переработки]]+BK9</f>
        <v>0.16</v>
      </c>
      <c r="BM10" s="207">
        <v>7</v>
      </c>
      <c r="BN10" s="203">
        <v>16000</v>
      </c>
      <c r="BO10" s="210">
        <f>Таблица_навык_стрелок[[#This Row],[опыт]]+BO9</f>
        <v>46000</v>
      </c>
      <c r="BP10" s="172"/>
      <c r="BQ10" s="234">
        <f>Таблица_навык_стрелок[[#This Row],[точность]]+BQ9</f>
        <v>0.03</v>
      </c>
      <c r="BR10" s="172">
        <v>0.02</v>
      </c>
      <c r="BS10" s="246">
        <f>Таблица_навык_стрелок[[#This Row],[крит. Урон]]+BS9</f>
        <v>0.03</v>
      </c>
      <c r="BT10" s="225"/>
      <c r="BU10" s="242">
        <f>Таблица_навык_стрелок[[#This Row],[крит. Поп]]+BU9</f>
        <v>0.01</v>
      </c>
      <c r="BV10" s="172"/>
      <c r="BW10" s="234">
        <f>Таблица_навык_стрелок[[#This Row],[дальность]]+BW9</f>
        <v>0.01</v>
      </c>
      <c r="BX10" s="172"/>
      <c r="BY10" s="242">
        <f>Таблица_навык_стрелок[[#This Row],[урон]]+BY9</f>
        <v>0.01</v>
      </c>
    </row>
    <row r="11" spans="1:77" x14ac:dyDescent="0.25">
      <c r="A11" s="120">
        <v>8</v>
      </c>
      <c r="B11" s="100">
        <v>16000</v>
      </c>
      <c r="C11" s="101">
        <f>Таблица_навык_оружие[[#This Row],[опыт]]+C10</f>
        <v>51000</v>
      </c>
      <c r="D11" s="292">
        <v>0</v>
      </c>
      <c r="E11" s="293">
        <f t="shared" si="6"/>
        <v>5</v>
      </c>
      <c r="F11" s="106">
        <v>0.01</v>
      </c>
      <c r="G11" s="280">
        <f>Таблица_навык_оружие[[#This Row],[урон]]+G10</f>
        <v>0.02</v>
      </c>
      <c r="H11" s="279">
        <v>0.01</v>
      </c>
      <c r="I11" s="280">
        <f>Таблица_навык_оружие[[#This Row],[урон]]+I10</f>
        <v>0.02</v>
      </c>
      <c r="J11" s="279">
        <v>0.01</v>
      </c>
      <c r="K11" s="280">
        <f>Таблица_навык_оружие[[#This Row],[урон]]+K10</f>
        <v>0.02</v>
      </c>
      <c r="L11" s="279">
        <v>0.01</v>
      </c>
      <c r="M11" s="280">
        <f>Таблица_навык_оружие[[#This Row],[урон]]+M10</f>
        <v>0.02</v>
      </c>
      <c r="N11" s="279">
        <v>0.01</v>
      </c>
      <c r="O11" s="280">
        <f>Таблица_навык_оружие[[#This Row],[урон]]+O10</f>
        <v>0.02</v>
      </c>
      <c r="Q11" s="115">
        <v>8</v>
      </c>
      <c r="R11" s="116">
        <v>16000</v>
      </c>
      <c r="S11" s="146">
        <f t="shared" si="0"/>
        <v>51000</v>
      </c>
      <c r="T11" s="260">
        <v>0.01</v>
      </c>
      <c r="U11" s="261">
        <f t="shared" si="1"/>
        <v>6.0000000000000005E-2</v>
      </c>
      <c r="V11" s="268">
        <v>1</v>
      </c>
      <c r="W11" s="308">
        <f t="shared" si="2"/>
        <v>4</v>
      </c>
      <c r="X11" s="268">
        <v>1</v>
      </c>
      <c r="Y11" s="308">
        <f t="shared" si="3"/>
        <v>6</v>
      </c>
      <c r="Z11" s="268"/>
      <c r="AA11" s="308">
        <f t="shared" si="4"/>
        <v>3</v>
      </c>
      <c r="AB11" s="268"/>
      <c r="AC11" s="308">
        <f t="shared" si="5"/>
        <v>3</v>
      </c>
      <c r="AE11" s="115">
        <v>8</v>
      </c>
      <c r="AF11" s="116">
        <v>103000</v>
      </c>
      <c r="AG11" s="146">
        <f>Таблица_навык_спринтер[[#This Row],[опыт]]+AG10</f>
        <v>285000</v>
      </c>
      <c r="AH11" s="268">
        <v>1</v>
      </c>
      <c r="AI11" s="308">
        <f>Таблица_навык_спринтер[[#This Row],[ОД]]+AI10</f>
        <v>8</v>
      </c>
      <c r="AQ11" s="115">
        <v>8</v>
      </c>
      <c r="AR11" s="132">
        <v>22000</v>
      </c>
      <c r="AS11" s="146">
        <f>Таблица_навык_следопыт[[#This Row],[опыт]]+AS10</f>
        <v>66000</v>
      </c>
      <c r="AT11" s="329">
        <v>1</v>
      </c>
      <c r="AU11" s="123">
        <v>0.6</v>
      </c>
      <c r="AV11" s="261">
        <v>0</v>
      </c>
      <c r="BA11" s="124">
        <v>8</v>
      </c>
      <c r="BB11" s="125">
        <v>23000</v>
      </c>
      <c r="BC11" s="299">
        <f>Таблица_тренинг_С[[#This Row],[опыт]]+BC10</f>
        <v>69000</v>
      </c>
      <c r="BD11" s="260">
        <v>0.08</v>
      </c>
      <c r="BE11" s="322">
        <f>Таблица_тренинг_С[[#This Row],[сила2]]+BE10</f>
        <v>0.64</v>
      </c>
      <c r="BG11" s="110">
        <v>8</v>
      </c>
      <c r="BH11" s="186">
        <v>92000</v>
      </c>
      <c r="BI11" s="187">
        <f>Таблица_навык_переработка[[#This Row],[опыт]]+BI10</f>
        <v>243000</v>
      </c>
      <c r="BJ11" s="184">
        <v>0.03</v>
      </c>
      <c r="BK11" s="231">
        <f>Таблица_навык_переработка[[#This Row],[эфф. Переработки]]+BK10</f>
        <v>0.19</v>
      </c>
      <c r="BM11" s="207">
        <v>8</v>
      </c>
      <c r="BN11" s="203">
        <v>23000</v>
      </c>
      <c r="BO11" s="210">
        <f>Таблица_навык_стрелок[[#This Row],[опыт]]+BO10</f>
        <v>69000</v>
      </c>
      <c r="BP11" s="172"/>
      <c r="BQ11" s="234">
        <f>Таблица_навык_стрелок[[#This Row],[точность]]+BQ10</f>
        <v>0.03</v>
      </c>
      <c r="BR11" s="172"/>
      <c r="BS11" s="246">
        <f>Таблица_навык_стрелок[[#This Row],[крит. Урон]]+BS10</f>
        <v>0.03</v>
      </c>
      <c r="BT11" s="225">
        <v>0.02</v>
      </c>
      <c r="BU11" s="242">
        <f>Таблица_навык_стрелок[[#This Row],[крит. Поп]]+BU10</f>
        <v>0.03</v>
      </c>
      <c r="BV11" s="172"/>
      <c r="BW11" s="234">
        <f>Таблица_навык_стрелок[[#This Row],[дальность]]+BW10</f>
        <v>0.01</v>
      </c>
      <c r="BX11" s="172"/>
      <c r="BY11" s="242">
        <f>Таблица_навык_стрелок[[#This Row],[урон]]+BY10</f>
        <v>0.01</v>
      </c>
    </row>
    <row r="12" spans="1:77" x14ac:dyDescent="0.25">
      <c r="A12" s="120">
        <v>9</v>
      </c>
      <c r="B12" s="100">
        <v>21000</v>
      </c>
      <c r="C12" s="101">
        <f>Таблица_навык_оружие[[#This Row],[опыт]]+C11</f>
        <v>72000</v>
      </c>
      <c r="D12" s="292">
        <v>0</v>
      </c>
      <c r="E12" s="293">
        <f t="shared" si="6"/>
        <v>5</v>
      </c>
      <c r="F12" s="106">
        <v>0</v>
      </c>
      <c r="G12" s="280">
        <f>Таблица_навык_оружие[[#This Row],[урон]]+G11</f>
        <v>0.02</v>
      </c>
      <c r="H12" s="279">
        <v>0</v>
      </c>
      <c r="I12" s="280">
        <f>Таблица_навык_оружие[[#This Row],[урон]]+I11</f>
        <v>0.02</v>
      </c>
      <c r="J12" s="279">
        <v>0</v>
      </c>
      <c r="K12" s="280">
        <f>Таблица_навык_оружие[[#This Row],[урон]]+K11</f>
        <v>0.02</v>
      </c>
      <c r="L12" s="279">
        <v>0</v>
      </c>
      <c r="M12" s="280">
        <f>Таблица_навык_оружие[[#This Row],[урон]]+M11</f>
        <v>0.02</v>
      </c>
      <c r="N12" s="279">
        <v>0</v>
      </c>
      <c r="O12" s="280">
        <f>Таблица_навык_оружие[[#This Row],[урон]]+O11</f>
        <v>0.02</v>
      </c>
      <c r="Q12" s="115">
        <v>9</v>
      </c>
      <c r="R12" s="116">
        <v>21000</v>
      </c>
      <c r="S12" s="146">
        <f t="shared" si="0"/>
        <v>72000</v>
      </c>
      <c r="T12" s="260">
        <v>0.01</v>
      </c>
      <c r="U12" s="261">
        <f t="shared" si="1"/>
        <v>7.0000000000000007E-2</v>
      </c>
      <c r="V12" s="268"/>
      <c r="W12" s="308">
        <f t="shared" si="2"/>
        <v>4</v>
      </c>
      <c r="X12" s="268">
        <v>1</v>
      </c>
      <c r="Y12" s="308">
        <f t="shared" si="3"/>
        <v>7</v>
      </c>
      <c r="Z12" s="268">
        <v>1</v>
      </c>
      <c r="AA12" s="308">
        <f t="shared" si="4"/>
        <v>4</v>
      </c>
      <c r="AB12" s="268">
        <v>1</v>
      </c>
      <c r="AC12" s="308">
        <f t="shared" si="5"/>
        <v>4</v>
      </c>
      <c r="AE12" s="115">
        <v>9</v>
      </c>
      <c r="AF12" s="116">
        <v>155000</v>
      </c>
      <c r="AG12" s="146">
        <f>Таблица_навык_спринтер[[#This Row],[опыт]]+AG11</f>
        <v>440000</v>
      </c>
      <c r="AH12" s="268">
        <v>1</v>
      </c>
      <c r="AI12" s="308">
        <f>Таблица_навык_спринтер[[#This Row],[ОД]]+AI11</f>
        <v>9</v>
      </c>
      <c r="AQ12" s="147">
        <v>9</v>
      </c>
      <c r="AR12" s="132">
        <v>30000</v>
      </c>
      <c r="AS12" s="146">
        <f>Таблица_навык_следопыт[[#This Row],[опыт]]+AS11</f>
        <v>96000</v>
      </c>
      <c r="AT12" s="329">
        <v>1</v>
      </c>
      <c r="AU12" s="123">
        <v>0.8</v>
      </c>
      <c r="AV12" s="261">
        <v>0</v>
      </c>
      <c r="BA12" s="124">
        <v>9</v>
      </c>
      <c r="BB12" s="125">
        <v>33000</v>
      </c>
      <c r="BC12" s="299">
        <f>Таблица_тренинг_С[[#This Row],[опыт]]+BC11</f>
        <v>102000</v>
      </c>
      <c r="BD12" s="260">
        <v>0.08</v>
      </c>
      <c r="BE12" s="322">
        <f>Таблица_тренинг_С[[#This Row],[сила2]]+BE11</f>
        <v>0.72</v>
      </c>
      <c r="BG12" s="130">
        <v>9</v>
      </c>
      <c r="BH12" s="186">
        <v>141000</v>
      </c>
      <c r="BI12" s="187">
        <f>Таблица_навык_переработка[[#This Row],[опыт]]+BI11</f>
        <v>384000</v>
      </c>
      <c r="BJ12" s="184">
        <v>0.03</v>
      </c>
      <c r="BK12" s="231">
        <f>Таблица_навык_переработка[[#This Row],[эфф. Переработки]]+BK11</f>
        <v>0.22</v>
      </c>
      <c r="BM12" s="207">
        <v>9</v>
      </c>
      <c r="BN12" s="203">
        <v>33000</v>
      </c>
      <c r="BO12" s="210">
        <f>Таблица_навык_стрелок[[#This Row],[опыт]]+BO11</f>
        <v>102000</v>
      </c>
      <c r="BP12" s="172"/>
      <c r="BQ12" s="234">
        <f>Таблица_навык_стрелок[[#This Row],[точность]]+BQ11</f>
        <v>0.03</v>
      </c>
      <c r="BR12" s="172"/>
      <c r="BS12" s="246">
        <f>Таблица_навык_стрелок[[#This Row],[крит. Урон]]+BS11</f>
        <v>0.03</v>
      </c>
      <c r="BT12" s="225"/>
      <c r="BU12" s="242">
        <f>Таблица_навык_стрелок[[#This Row],[крит. Поп]]+BU11</f>
        <v>0.03</v>
      </c>
      <c r="BV12" s="172">
        <v>0.02</v>
      </c>
      <c r="BW12" s="234">
        <f>Таблица_навык_стрелок[[#This Row],[дальность]]+BW11</f>
        <v>0.03</v>
      </c>
      <c r="BX12" s="172"/>
      <c r="BY12" s="242">
        <f>Таблица_навык_стрелок[[#This Row],[урон]]+BY11</f>
        <v>0.01</v>
      </c>
    </row>
    <row r="13" spans="1:77" ht="16.5" thickBot="1" x14ac:dyDescent="0.3">
      <c r="A13" s="120">
        <v>10</v>
      </c>
      <c r="B13" s="100">
        <v>29000</v>
      </c>
      <c r="C13" s="101">
        <f>Таблица_навык_оружие[[#This Row],[опыт]]+C12</f>
        <v>101000</v>
      </c>
      <c r="D13" s="292">
        <v>0</v>
      </c>
      <c r="E13" s="293">
        <f t="shared" si="6"/>
        <v>5</v>
      </c>
      <c r="F13" s="106">
        <v>0.01</v>
      </c>
      <c r="G13" s="280">
        <f>Таблица_навык_оружие[[#This Row],[урон]]+G12</f>
        <v>0.03</v>
      </c>
      <c r="H13" s="279">
        <v>0.01</v>
      </c>
      <c r="I13" s="280">
        <f>Таблица_навык_оружие[[#This Row],[урон]]+I12</f>
        <v>0.03</v>
      </c>
      <c r="J13" s="279">
        <v>0.01</v>
      </c>
      <c r="K13" s="280">
        <f>Таблица_навык_оружие[[#This Row],[урон]]+K12</f>
        <v>0.03</v>
      </c>
      <c r="L13" s="279">
        <v>0.01</v>
      </c>
      <c r="M13" s="280">
        <f>Таблица_навык_оружие[[#This Row],[урон]]+M12</f>
        <v>0.03</v>
      </c>
      <c r="N13" s="279">
        <v>0.01</v>
      </c>
      <c r="O13" s="280">
        <f>Таблица_навык_оружие[[#This Row],[урон]]+O12</f>
        <v>0.03</v>
      </c>
      <c r="Q13" s="115">
        <v>10</v>
      </c>
      <c r="R13" s="116">
        <v>29000</v>
      </c>
      <c r="S13" s="146">
        <f t="shared" si="0"/>
        <v>101000</v>
      </c>
      <c r="T13" s="260">
        <v>0.01</v>
      </c>
      <c r="U13" s="261">
        <f t="shared" si="1"/>
        <v>0.08</v>
      </c>
      <c r="V13" s="268">
        <v>1</v>
      </c>
      <c r="W13" s="308">
        <f t="shared" si="2"/>
        <v>5</v>
      </c>
      <c r="X13" s="268">
        <v>1</v>
      </c>
      <c r="Y13" s="308">
        <f t="shared" si="3"/>
        <v>8</v>
      </c>
      <c r="Z13" s="268"/>
      <c r="AA13" s="308">
        <f t="shared" si="4"/>
        <v>4</v>
      </c>
      <c r="AB13" s="268"/>
      <c r="AC13" s="308">
        <f t="shared" si="5"/>
        <v>4</v>
      </c>
      <c r="AE13" s="115">
        <v>10</v>
      </c>
      <c r="AF13" s="116">
        <v>228000</v>
      </c>
      <c r="AG13" s="146">
        <f>Таблица_навык_спринтер[[#This Row],[опыт]]+AG12</f>
        <v>668000</v>
      </c>
      <c r="AH13" s="268">
        <v>1</v>
      </c>
      <c r="AI13" s="308">
        <f>Таблица_навык_спринтер[[#This Row],[ОД]]+AI12</f>
        <v>10</v>
      </c>
      <c r="AQ13" s="117">
        <v>10</v>
      </c>
      <c r="AR13" s="132">
        <v>43000</v>
      </c>
      <c r="AS13" s="146">
        <f>Таблица_навык_следопыт[[#This Row],[опыт]]+AS12</f>
        <v>139000</v>
      </c>
      <c r="AT13" s="329">
        <v>1</v>
      </c>
      <c r="AU13" s="123">
        <v>1</v>
      </c>
      <c r="AV13" s="261">
        <v>0</v>
      </c>
      <c r="BA13" s="124">
        <v>10</v>
      </c>
      <c r="BB13" s="125">
        <v>47000</v>
      </c>
      <c r="BC13" s="299">
        <f>Таблица_тренинг_С[[#This Row],[опыт]]+BC12</f>
        <v>149000</v>
      </c>
      <c r="BD13" s="260">
        <v>0.08</v>
      </c>
      <c r="BE13" s="322">
        <f>Таблица_тренинг_С[[#This Row],[сила2]]+BE12</f>
        <v>0.79999999999999993</v>
      </c>
      <c r="BG13" s="157">
        <v>10</v>
      </c>
      <c r="BH13" s="188">
        <v>216000</v>
      </c>
      <c r="BI13" s="189">
        <f>Таблица_навык_переработка[[#This Row],[опыт]]+BI12</f>
        <v>600000</v>
      </c>
      <c r="BJ13" s="185">
        <v>0.03</v>
      </c>
      <c r="BK13" s="232">
        <f>Таблица_навык_переработка[[#This Row],[эфф. Переработки]]+BK12</f>
        <v>0.25</v>
      </c>
      <c r="BM13" s="207">
        <v>10</v>
      </c>
      <c r="BN13" s="203">
        <v>47000</v>
      </c>
      <c r="BO13" s="210">
        <f>Таблица_навык_стрелок[[#This Row],[опыт]]+BO12</f>
        <v>149000</v>
      </c>
      <c r="BP13" s="172"/>
      <c r="BQ13" s="234">
        <f>Таблица_навык_стрелок[[#This Row],[точность]]+BQ12</f>
        <v>0.03</v>
      </c>
      <c r="BR13" s="172"/>
      <c r="BS13" s="246">
        <f>Таблица_навык_стрелок[[#This Row],[крит. Урон]]+BS12</f>
        <v>0.03</v>
      </c>
      <c r="BT13" s="225"/>
      <c r="BU13" s="242">
        <f>Таблица_навык_стрелок[[#This Row],[крит. Поп]]+BU12</f>
        <v>0.03</v>
      </c>
      <c r="BV13" s="172"/>
      <c r="BW13" s="234">
        <f>Таблица_навык_стрелок[[#This Row],[дальность]]+BW12</f>
        <v>0.03</v>
      </c>
      <c r="BX13" s="172">
        <v>0.02</v>
      </c>
      <c r="BY13" s="242">
        <f>Таблица_навык_стрелок[[#This Row],[урон]]+BY12</f>
        <v>0.03</v>
      </c>
    </row>
    <row r="14" spans="1:77" ht="16.5" thickBot="1" x14ac:dyDescent="0.3">
      <c r="A14" s="120">
        <v>11</v>
      </c>
      <c r="B14" s="100">
        <v>39000</v>
      </c>
      <c r="C14" s="101">
        <f>Таблица_навык_оружие[[#This Row],[опыт]]+C13</f>
        <v>140000</v>
      </c>
      <c r="D14" s="292">
        <v>0</v>
      </c>
      <c r="E14" s="293">
        <f t="shared" si="6"/>
        <v>5</v>
      </c>
      <c r="F14" s="106">
        <v>0</v>
      </c>
      <c r="G14" s="280">
        <f>Таблица_навык_оружие[[#This Row],[урон]]+G13</f>
        <v>0.03</v>
      </c>
      <c r="H14" s="279">
        <v>0</v>
      </c>
      <c r="I14" s="280">
        <f>Таблица_навык_оружие[[#This Row],[урон]]+I13</f>
        <v>0.03</v>
      </c>
      <c r="J14" s="279">
        <v>0</v>
      </c>
      <c r="K14" s="280">
        <f>Таблица_навык_оружие[[#This Row],[урон]]+K13</f>
        <v>0.03</v>
      </c>
      <c r="L14" s="279">
        <v>0</v>
      </c>
      <c r="M14" s="280">
        <f>Таблица_навык_оружие[[#This Row],[урон]]+M13</f>
        <v>0.03</v>
      </c>
      <c r="N14" s="279">
        <v>0</v>
      </c>
      <c r="O14" s="280">
        <f>Таблица_навык_оружие[[#This Row],[урон]]+O13</f>
        <v>0.03</v>
      </c>
      <c r="Q14" s="115">
        <v>11</v>
      </c>
      <c r="R14" s="116">
        <v>39000</v>
      </c>
      <c r="S14" s="146">
        <f t="shared" si="0"/>
        <v>140000</v>
      </c>
      <c r="T14" s="260">
        <v>0.01</v>
      </c>
      <c r="U14" s="261">
        <f t="shared" si="1"/>
        <v>0.09</v>
      </c>
      <c r="V14" s="268"/>
      <c r="W14" s="308">
        <f t="shared" si="2"/>
        <v>5</v>
      </c>
      <c r="X14" s="268">
        <v>1</v>
      </c>
      <c r="Y14" s="308">
        <f t="shared" si="3"/>
        <v>9</v>
      </c>
      <c r="Z14" s="268">
        <v>1</v>
      </c>
      <c r="AA14" s="308">
        <f t="shared" si="4"/>
        <v>5</v>
      </c>
      <c r="AB14" s="268">
        <v>1</v>
      </c>
      <c r="AC14" s="308">
        <f t="shared" si="5"/>
        <v>5</v>
      </c>
      <c r="AE14" s="115">
        <v>11</v>
      </c>
      <c r="AF14" s="116">
        <v>336000</v>
      </c>
      <c r="AG14" s="146">
        <f>Таблица_навык_спринтер[[#This Row],[опыт]]+AG13</f>
        <v>1004000</v>
      </c>
      <c r="AH14" s="268">
        <v>1</v>
      </c>
      <c r="AI14" s="308">
        <f>Таблица_навык_спринтер[[#This Row],[ОД]]+AI13</f>
        <v>11</v>
      </c>
      <c r="AQ14" s="159">
        <v>11</v>
      </c>
      <c r="AR14" s="132">
        <v>59000</v>
      </c>
      <c r="AS14" s="146">
        <f>Таблица_навык_следопыт[[#This Row],[опыт]]+AS13</f>
        <v>198000</v>
      </c>
      <c r="AT14" s="329">
        <v>1</v>
      </c>
      <c r="AU14" s="123">
        <v>1</v>
      </c>
      <c r="AV14" s="261">
        <v>0.2</v>
      </c>
      <c r="BA14" s="124">
        <v>11</v>
      </c>
      <c r="BB14" s="125">
        <v>65000</v>
      </c>
      <c r="BC14" s="299">
        <f>Таблица_тренинг_С[[#This Row],[опыт]]+BC13</f>
        <v>214000</v>
      </c>
      <c r="BD14" s="260">
        <v>0.08</v>
      </c>
      <c r="BE14" s="322">
        <f>Таблица_тренинг_С[[#This Row],[сила2]]+BE13</f>
        <v>0.87999999999999989</v>
      </c>
      <c r="BM14" s="207">
        <v>11</v>
      </c>
      <c r="BN14" s="203">
        <v>65000</v>
      </c>
      <c r="BO14" s="210">
        <f>Таблица_навык_стрелок[[#This Row],[опыт]]+BO13</f>
        <v>214000</v>
      </c>
      <c r="BP14" s="172">
        <v>0.03</v>
      </c>
      <c r="BQ14" s="234">
        <f>Таблица_навык_стрелок[[#This Row],[точность]]+BQ13</f>
        <v>0.06</v>
      </c>
      <c r="BR14" s="172"/>
      <c r="BS14" s="246">
        <f>Таблица_навык_стрелок[[#This Row],[крит. Урон]]+BS13</f>
        <v>0.03</v>
      </c>
      <c r="BT14" s="225"/>
      <c r="BU14" s="242">
        <f>Таблица_навык_стрелок[[#This Row],[крит. Поп]]+BU13</f>
        <v>0.03</v>
      </c>
      <c r="BV14" s="172"/>
      <c r="BW14" s="234">
        <f>Таблица_навык_стрелок[[#This Row],[дальность]]+BW13</f>
        <v>0.03</v>
      </c>
      <c r="BX14" s="172"/>
      <c r="BY14" s="242">
        <f>Таблица_навык_стрелок[[#This Row],[урон]]+BY13</f>
        <v>0.03</v>
      </c>
    </row>
    <row r="15" spans="1:77" x14ac:dyDescent="0.25">
      <c r="A15" s="120">
        <v>12</v>
      </c>
      <c r="B15" s="100">
        <v>52000</v>
      </c>
      <c r="C15" s="101">
        <f>Таблица_навык_оружие[[#This Row],[опыт]]+C14</f>
        <v>192000</v>
      </c>
      <c r="D15" s="292">
        <v>0</v>
      </c>
      <c r="E15" s="293">
        <f t="shared" si="6"/>
        <v>5</v>
      </c>
      <c r="F15" s="106">
        <v>0.01</v>
      </c>
      <c r="G15" s="280">
        <f>Таблица_навык_оружие[[#This Row],[урон]]+G14</f>
        <v>0.04</v>
      </c>
      <c r="H15" s="279">
        <v>0.01</v>
      </c>
      <c r="I15" s="280">
        <f>Таблица_навык_оружие[[#This Row],[урон]]+I14</f>
        <v>0.04</v>
      </c>
      <c r="J15" s="279">
        <v>0.01</v>
      </c>
      <c r="K15" s="280">
        <f>Таблица_навык_оружие[[#This Row],[урон]]+K14</f>
        <v>0.04</v>
      </c>
      <c r="L15" s="279">
        <v>0.01</v>
      </c>
      <c r="M15" s="280">
        <f>Таблица_навык_оружие[[#This Row],[урон]]+M14</f>
        <v>0.04</v>
      </c>
      <c r="N15" s="279">
        <v>0.01</v>
      </c>
      <c r="O15" s="280">
        <f>Таблица_навык_оружие[[#This Row],[урон]]+O14</f>
        <v>0.04</v>
      </c>
      <c r="Q15" s="115">
        <v>12</v>
      </c>
      <c r="R15" s="116">
        <v>52000</v>
      </c>
      <c r="S15" s="146">
        <f t="shared" si="0"/>
        <v>192000</v>
      </c>
      <c r="T15" s="260">
        <v>0.01</v>
      </c>
      <c r="U15" s="261">
        <f t="shared" si="1"/>
        <v>9.9999999999999992E-2</v>
      </c>
      <c r="V15" s="268">
        <v>1</v>
      </c>
      <c r="W15" s="308">
        <f t="shared" si="2"/>
        <v>6</v>
      </c>
      <c r="X15" s="268">
        <v>1</v>
      </c>
      <c r="Y15" s="308">
        <f t="shared" si="3"/>
        <v>10</v>
      </c>
      <c r="Z15" s="268"/>
      <c r="AA15" s="308">
        <f t="shared" si="4"/>
        <v>5</v>
      </c>
      <c r="AB15" s="268"/>
      <c r="AC15" s="308">
        <f t="shared" si="5"/>
        <v>5</v>
      </c>
      <c r="AE15" s="115">
        <v>12</v>
      </c>
      <c r="AF15" s="116">
        <v>493000</v>
      </c>
      <c r="AG15" s="146">
        <f>Таблица_навык_спринтер[[#This Row],[опыт]]+AG14</f>
        <v>1497000</v>
      </c>
      <c r="AH15" s="268">
        <v>1</v>
      </c>
      <c r="AI15" s="308">
        <f>Таблица_навык_спринтер[[#This Row],[ОД]]+AI14</f>
        <v>12</v>
      </c>
      <c r="AQ15" s="117">
        <v>12</v>
      </c>
      <c r="AR15" s="132">
        <v>84000</v>
      </c>
      <c r="AS15" s="146">
        <f>Таблица_навык_следопыт[[#This Row],[опыт]]+AS14</f>
        <v>282000</v>
      </c>
      <c r="AT15" s="329">
        <v>1</v>
      </c>
      <c r="AU15" s="123">
        <v>1</v>
      </c>
      <c r="AV15" s="261">
        <v>0.4</v>
      </c>
      <c r="BA15" s="124">
        <v>12</v>
      </c>
      <c r="BB15" s="125">
        <v>93000</v>
      </c>
      <c r="BC15" s="299">
        <f>Таблица_тренинг_С[[#This Row],[опыт]]+BC14</f>
        <v>307000</v>
      </c>
      <c r="BD15" s="260">
        <v>0.08</v>
      </c>
      <c r="BE15" s="322">
        <f>Таблица_тренинг_С[[#This Row],[сила2]]+BE14</f>
        <v>0.95999999999999985</v>
      </c>
      <c r="BG15" s="174" t="s">
        <v>163</v>
      </c>
      <c r="BH15" s="171" t="s">
        <v>153</v>
      </c>
      <c r="BI15" s="177" t="s">
        <v>495</v>
      </c>
      <c r="BJ15" s="171" t="s">
        <v>546</v>
      </c>
      <c r="BK15" s="233" t="s">
        <v>496</v>
      </c>
      <c r="BM15" s="207">
        <v>12</v>
      </c>
      <c r="BN15" s="203">
        <v>93000</v>
      </c>
      <c r="BO15" s="210">
        <f>Таблица_навык_стрелок[[#This Row],[опыт]]+BO14</f>
        <v>307000</v>
      </c>
      <c r="BP15" s="172"/>
      <c r="BQ15" s="234">
        <f>Таблица_навык_стрелок[[#This Row],[точность]]+BQ14</f>
        <v>0.06</v>
      </c>
      <c r="BR15" s="172">
        <v>0.03</v>
      </c>
      <c r="BS15" s="246">
        <f>Таблица_навык_стрелок[[#This Row],[крит. Урон]]+BS14</f>
        <v>0.06</v>
      </c>
      <c r="BT15" s="225"/>
      <c r="BU15" s="242">
        <f>Таблица_навык_стрелок[[#This Row],[крит. Поп]]+BU14</f>
        <v>0.03</v>
      </c>
      <c r="BV15" s="172"/>
      <c r="BW15" s="234">
        <f>Таблица_навык_стрелок[[#This Row],[дальность]]+BW14</f>
        <v>0.03</v>
      </c>
      <c r="BX15" s="172"/>
      <c r="BY15" s="242">
        <f>Таблица_навык_стрелок[[#This Row],[урон]]+BY14</f>
        <v>0.03</v>
      </c>
    </row>
    <row r="16" spans="1:77" x14ac:dyDescent="0.25">
      <c r="A16" s="120">
        <v>13</v>
      </c>
      <c r="B16" s="100">
        <v>70000</v>
      </c>
      <c r="C16" s="101">
        <f>Таблица_навык_оружие[[#This Row],[опыт]]+C15</f>
        <v>262000</v>
      </c>
      <c r="D16" s="292">
        <v>0</v>
      </c>
      <c r="E16" s="293">
        <f t="shared" si="6"/>
        <v>5</v>
      </c>
      <c r="F16" s="106">
        <v>0</v>
      </c>
      <c r="G16" s="280">
        <f>Таблица_навык_оружие[[#This Row],[урон]]+G15</f>
        <v>0.04</v>
      </c>
      <c r="H16" s="279">
        <v>0</v>
      </c>
      <c r="I16" s="280">
        <f>Таблица_навык_оружие[[#This Row],[урон]]+I15</f>
        <v>0.04</v>
      </c>
      <c r="J16" s="279">
        <v>0</v>
      </c>
      <c r="K16" s="280">
        <f>Таблица_навык_оружие[[#This Row],[урон]]+K15</f>
        <v>0.04</v>
      </c>
      <c r="L16" s="279">
        <v>0</v>
      </c>
      <c r="M16" s="280">
        <f>Таблица_навык_оружие[[#This Row],[урон]]+M15</f>
        <v>0.04</v>
      </c>
      <c r="N16" s="279">
        <v>0</v>
      </c>
      <c r="O16" s="280">
        <f>Таблица_навык_оружие[[#This Row],[урон]]+O15</f>
        <v>0.04</v>
      </c>
      <c r="Q16" s="115">
        <v>13</v>
      </c>
      <c r="R16" s="116">
        <v>70000</v>
      </c>
      <c r="S16" s="146">
        <f t="shared" si="0"/>
        <v>262000</v>
      </c>
      <c r="T16" s="260">
        <v>0.01</v>
      </c>
      <c r="U16" s="261">
        <f t="shared" si="1"/>
        <v>0.10999999999999999</v>
      </c>
      <c r="V16" s="268"/>
      <c r="W16" s="308">
        <f t="shared" si="2"/>
        <v>6</v>
      </c>
      <c r="X16" s="268">
        <v>1</v>
      </c>
      <c r="Y16" s="308">
        <f t="shared" si="3"/>
        <v>11</v>
      </c>
      <c r="Z16" s="268">
        <v>1</v>
      </c>
      <c r="AA16" s="308">
        <f t="shared" si="4"/>
        <v>6</v>
      </c>
      <c r="AB16" s="268">
        <v>1</v>
      </c>
      <c r="AC16" s="308">
        <f t="shared" si="5"/>
        <v>6</v>
      </c>
      <c r="AE16" s="115">
        <v>13</v>
      </c>
      <c r="AF16" s="116">
        <v>717000</v>
      </c>
      <c r="AG16" s="146">
        <f>Таблица_навык_спринтер[[#This Row],[опыт]]+AG15</f>
        <v>2214000</v>
      </c>
      <c r="AH16" s="268">
        <v>1</v>
      </c>
      <c r="AI16" s="308">
        <f>Таблица_навык_спринтер[[#This Row],[ОД]]+AI15</f>
        <v>13</v>
      </c>
      <c r="AQ16" s="159">
        <v>13</v>
      </c>
      <c r="AR16" s="132">
        <v>115000</v>
      </c>
      <c r="AS16" s="146">
        <f>Таблица_навык_следопыт[[#This Row],[опыт]]+AS15</f>
        <v>397000</v>
      </c>
      <c r="AT16" s="329">
        <v>1</v>
      </c>
      <c r="AU16" s="123">
        <v>1</v>
      </c>
      <c r="AV16" s="261">
        <v>0.6</v>
      </c>
      <c r="BA16" s="124">
        <v>13</v>
      </c>
      <c r="BB16" s="125">
        <v>128000</v>
      </c>
      <c r="BC16" s="299">
        <f>Таблица_тренинг_С[[#This Row],[опыт]]+BC15</f>
        <v>435000</v>
      </c>
      <c r="BD16" s="260">
        <v>0.08</v>
      </c>
      <c r="BE16" s="322">
        <f>Таблица_тренинг_С[[#This Row],[сила2]]+BE15</f>
        <v>1.0399999999999998</v>
      </c>
      <c r="BG16" s="175">
        <v>0</v>
      </c>
      <c r="BH16" s="178">
        <v>0</v>
      </c>
      <c r="BI16" s="179">
        <v>0</v>
      </c>
      <c r="BJ16" s="172"/>
      <c r="BK16" s="234">
        <v>0</v>
      </c>
      <c r="BM16" s="207">
        <v>13</v>
      </c>
      <c r="BN16" s="203">
        <v>128000</v>
      </c>
      <c r="BO16" s="210">
        <f>Таблица_навык_стрелок[[#This Row],[опыт]]+BO15</f>
        <v>435000</v>
      </c>
      <c r="BP16" s="172"/>
      <c r="BQ16" s="234">
        <f>Таблица_навык_стрелок[[#This Row],[точность]]+BQ15</f>
        <v>0.06</v>
      </c>
      <c r="BR16" s="172"/>
      <c r="BS16" s="246">
        <f>Таблица_навык_стрелок[[#This Row],[крит. Урон]]+BS15</f>
        <v>0.06</v>
      </c>
      <c r="BT16" s="225">
        <v>0.03</v>
      </c>
      <c r="BU16" s="242">
        <f>Таблица_навык_стрелок[[#This Row],[крит. Поп]]+BU15</f>
        <v>0.06</v>
      </c>
      <c r="BV16" s="172"/>
      <c r="BW16" s="234">
        <f>Таблица_навык_стрелок[[#This Row],[дальность]]+BW15</f>
        <v>0.03</v>
      </c>
      <c r="BX16" s="172"/>
      <c r="BY16" s="242">
        <f>Таблица_навык_стрелок[[#This Row],[урон]]+BY15</f>
        <v>0.03</v>
      </c>
    </row>
    <row r="17" spans="1:77" x14ac:dyDescent="0.25">
      <c r="A17" s="120">
        <v>14</v>
      </c>
      <c r="B17" s="100">
        <v>94000</v>
      </c>
      <c r="C17" s="101">
        <f>Таблица_навык_оружие[[#This Row],[опыт]]+C16</f>
        <v>356000</v>
      </c>
      <c r="D17" s="292">
        <v>0</v>
      </c>
      <c r="E17" s="293">
        <f t="shared" si="6"/>
        <v>5</v>
      </c>
      <c r="F17" s="106">
        <v>0.01</v>
      </c>
      <c r="G17" s="280">
        <f>Таблица_навык_оружие[[#This Row],[урон]]+G16</f>
        <v>0.05</v>
      </c>
      <c r="H17" s="279">
        <v>0.01</v>
      </c>
      <c r="I17" s="280">
        <f>Таблица_навык_оружие[[#This Row],[урон]]+I16</f>
        <v>0.05</v>
      </c>
      <c r="J17" s="279">
        <v>0.01</v>
      </c>
      <c r="K17" s="280">
        <f>Таблица_навык_оружие[[#This Row],[урон]]+K16</f>
        <v>0.05</v>
      </c>
      <c r="L17" s="279">
        <v>0.01</v>
      </c>
      <c r="M17" s="280">
        <f>Таблица_навык_оружие[[#This Row],[урон]]+M16</f>
        <v>0.05</v>
      </c>
      <c r="N17" s="279">
        <v>0.01</v>
      </c>
      <c r="O17" s="280">
        <f>Таблица_навык_оружие[[#This Row],[урон]]+O16</f>
        <v>0.05</v>
      </c>
      <c r="Q17" s="115">
        <v>14</v>
      </c>
      <c r="R17" s="116">
        <v>94000</v>
      </c>
      <c r="S17" s="146">
        <f t="shared" si="0"/>
        <v>356000</v>
      </c>
      <c r="T17" s="260">
        <v>0.01</v>
      </c>
      <c r="U17" s="261">
        <f t="shared" si="1"/>
        <v>0.11999999999999998</v>
      </c>
      <c r="V17" s="268">
        <v>1</v>
      </c>
      <c r="W17" s="308">
        <f t="shared" si="2"/>
        <v>7</v>
      </c>
      <c r="X17" s="268">
        <v>1</v>
      </c>
      <c r="Y17" s="308">
        <f t="shared" si="3"/>
        <v>12</v>
      </c>
      <c r="Z17" s="268"/>
      <c r="AA17" s="308">
        <f t="shared" si="4"/>
        <v>6</v>
      </c>
      <c r="AB17" s="268"/>
      <c r="AC17" s="308">
        <f t="shared" si="5"/>
        <v>6</v>
      </c>
      <c r="AE17" s="115">
        <v>14</v>
      </c>
      <c r="AF17" s="116">
        <v>1040000</v>
      </c>
      <c r="AG17" s="146">
        <f>Таблица_навык_спринтер[[#This Row],[опыт]]+AG16</f>
        <v>3254000</v>
      </c>
      <c r="AH17" s="268">
        <v>1</v>
      </c>
      <c r="AI17" s="308">
        <f>Таблица_навык_спринтер[[#This Row],[ОД]]+AI16</f>
        <v>14</v>
      </c>
      <c r="AQ17" s="117">
        <v>14</v>
      </c>
      <c r="AR17" s="132">
        <v>159000</v>
      </c>
      <c r="AS17" s="146">
        <f>Таблица_навык_следопыт[[#This Row],[опыт]]+AS16</f>
        <v>556000</v>
      </c>
      <c r="AT17" s="329">
        <v>1</v>
      </c>
      <c r="AU17" s="123">
        <v>1</v>
      </c>
      <c r="AV17" s="261">
        <v>0.8</v>
      </c>
      <c r="BA17" s="124">
        <v>14</v>
      </c>
      <c r="BB17" s="125">
        <v>179000</v>
      </c>
      <c r="BC17" s="299">
        <f>Таблица_тренинг_С[[#This Row],[опыт]]+BC16</f>
        <v>614000</v>
      </c>
      <c r="BD17" s="260">
        <v>0.08</v>
      </c>
      <c r="BE17" s="322">
        <f>Таблица_тренинг_С[[#This Row],[сила2]]+BE16</f>
        <v>1.1199999999999999</v>
      </c>
      <c r="BG17" s="175">
        <v>1</v>
      </c>
      <c r="BH17" s="178">
        <v>3000</v>
      </c>
      <c r="BI17" s="179">
        <f>Таблица_навык_эфф._производства[[#This Row],[опыт]]+BI16</f>
        <v>3000</v>
      </c>
      <c r="BJ17" s="172">
        <v>-0.05</v>
      </c>
      <c r="BK17" s="234">
        <f>Таблица_навык_эфф._производства[[#This Row],[перерас. Комп.]]+BK16</f>
        <v>-0.05</v>
      </c>
      <c r="BM17" s="207">
        <v>14</v>
      </c>
      <c r="BN17" s="203">
        <v>179000</v>
      </c>
      <c r="BO17" s="210">
        <f>Таблица_навык_стрелок[[#This Row],[опыт]]+BO16</f>
        <v>614000</v>
      </c>
      <c r="BP17" s="172"/>
      <c r="BQ17" s="234">
        <f>Таблица_навык_стрелок[[#This Row],[точность]]+BQ16</f>
        <v>0.06</v>
      </c>
      <c r="BR17" s="172"/>
      <c r="BS17" s="246">
        <f>Таблица_навык_стрелок[[#This Row],[крит. Урон]]+BS16</f>
        <v>0.06</v>
      </c>
      <c r="BT17" s="225"/>
      <c r="BU17" s="242">
        <f>Таблица_навык_стрелок[[#This Row],[крит. Поп]]+BU16</f>
        <v>0.06</v>
      </c>
      <c r="BV17" s="172">
        <v>0.03</v>
      </c>
      <c r="BW17" s="234">
        <f>Таблица_навык_стрелок[[#This Row],[дальность]]+BW16</f>
        <v>0.06</v>
      </c>
      <c r="BX17" s="172"/>
      <c r="BY17" s="242">
        <f>Таблица_навык_стрелок[[#This Row],[урон]]+BY16</f>
        <v>0.03</v>
      </c>
    </row>
    <row r="18" spans="1:77" ht="16.5" thickBot="1" x14ac:dyDescent="0.3">
      <c r="A18" s="120">
        <v>15</v>
      </c>
      <c r="B18" s="100">
        <v>124000</v>
      </c>
      <c r="C18" s="101">
        <f>Таблица_навык_оружие[[#This Row],[опыт]]+C17</f>
        <v>480000</v>
      </c>
      <c r="D18" s="292">
        <v>0</v>
      </c>
      <c r="E18" s="293">
        <f t="shared" si="6"/>
        <v>5</v>
      </c>
      <c r="F18" s="106">
        <v>0</v>
      </c>
      <c r="G18" s="280">
        <f>Таблица_навык_оружие[[#This Row],[урон]]+G17</f>
        <v>0.05</v>
      </c>
      <c r="H18" s="279">
        <v>0</v>
      </c>
      <c r="I18" s="280">
        <f>Таблица_навык_оружие[[#This Row],[урон]]+I17</f>
        <v>0.05</v>
      </c>
      <c r="J18" s="279">
        <v>0</v>
      </c>
      <c r="K18" s="280">
        <f>Таблица_навык_оружие[[#This Row],[урон]]+K17</f>
        <v>0.05</v>
      </c>
      <c r="L18" s="279">
        <v>0</v>
      </c>
      <c r="M18" s="280">
        <f>Таблица_навык_оружие[[#This Row],[урон]]+M17</f>
        <v>0.05</v>
      </c>
      <c r="N18" s="279">
        <v>0</v>
      </c>
      <c r="O18" s="280">
        <f>Таблица_навык_оружие[[#This Row],[урон]]+O17</f>
        <v>0.05</v>
      </c>
      <c r="Q18" s="115">
        <v>15</v>
      </c>
      <c r="R18" s="116">
        <v>124000</v>
      </c>
      <c r="S18" s="146">
        <f t="shared" si="0"/>
        <v>480000</v>
      </c>
      <c r="T18" s="260">
        <v>0.01</v>
      </c>
      <c r="U18" s="261">
        <f t="shared" si="1"/>
        <v>0.12999999999999998</v>
      </c>
      <c r="V18" s="268"/>
      <c r="W18" s="308">
        <f t="shared" si="2"/>
        <v>7</v>
      </c>
      <c r="X18" s="268">
        <v>1</v>
      </c>
      <c r="Y18" s="308">
        <f t="shared" si="3"/>
        <v>13</v>
      </c>
      <c r="Z18" s="268">
        <v>1</v>
      </c>
      <c r="AA18" s="308">
        <f t="shared" si="4"/>
        <v>7</v>
      </c>
      <c r="AB18" s="268">
        <v>1</v>
      </c>
      <c r="AC18" s="308">
        <f t="shared" si="5"/>
        <v>7</v>
      </c>
      <c r="AE18" s="115">
        <v>15</v>
      </c>
      <c r="AF18" s="116">
        <v>1505000</v>
      </c>
      <c r="AG18" s="146">
        <f>Таблица_навык_спринтер[[#This Row],[опыт]]+AG17</f>
        <v>4759000</v>
      </c>
      <c r="AH18" s="268">
        <v>1</v>
      </c>
      <c r="AI18" s="308">
        <f>Таблица_навык_спринтер[[#This Row],[ОД]]+AI17</f>
        <v>15</v>
      </c>
      <c r="AQ18" s="148">
        <v>15</v>
      </c>
      <c r="AR18" s="133">
        <v>219000</v>
      </c>
      <c r="AS18" s="274">
        <f>Таблица_навык_следопыт[[#This Row],[опыт]]+AS17</f>
        <v>775000</v>
      </c>
      <c r="AT18" s="330">
        <v>1</v>
      </c>
      <c r="AU18" s="331">
        <v>1</v>
      </c>
      <c r="AV18" s="264">
        <v>1</v>
      </c>
      <c r="BA18" s="124">
        <v>15</v>
      </c>
      <c r="BB18" s="125">
        <v>250000</v>
      </c>
      <c r="BC18" s="299">
        <f>Таблица_тренинг_С[[#This Row],[опыт]]+BC17</f>
        <v>864000</v>
      </c>
      <c r="BD18" s="260">
        <v>0.08</v>
      </c>
      <c r="BE18" s="322">
        <f>Таблица_тренинг_С[[#This Row],[сила2]]+BE17</f>
        <v>1.2</v>
      </c>
      <c r="BG18" s="175">
        <v>2</v>
      </c>
      <c r="BH18" s="178">
        <v>5000</v>
      </c>
      <c r="BI18" s="179">
        <f>Таблица_навык_эфф._производства[[#This Row],[опыт]]+BI17</f>
        <v>8000</v>
      </c>
      <c r="BJ18" s="172">
        <v>-0.05</v>
      </c>
      <c r="BK18" s="234">
        <f>Таблица_навык_эфф._производства[[#This Row],[перерас. Комп.]]+BK17</f>
        <v>-0.1</v>
      </c>
      <c r="BM18" s="207">
        <v>15</v>
      </c>
      <c r="BN18" s="203">
        <v>250000</v>
      </c>
      <c r="BO18" s="210">
        <f>Таблица_навык_стрелок[[#This Row],[опыт]]+BO17</f>
        <v>864000</v>
      </c>
      <c r="BP18" s="172"/>
      <c r="BQ18" s="234">
        <f>Таблица_навык_стрелок[[#This Row],[точность]]+BQ17</f>
        <v>0.06</v>
      </c>
      <c r="BR18" s="172"/>
      <c r="BS18" s="246">
        <f>Таблица_навык_стрелок[[#This Row],[крит. Урон]]+BS17</f>
        <v>0.06</v>
      </c>
      <c r="BT18" s="225"/>
      <c r="BU18" s="242">
        <f>Таблица_навык_стрелок[[#This Row],[крит. Поп]]+BU17</f>
        <v>0.06</v>
      </c>
      <c r="BV18" s="172"/>
      <c r="BW18" s="234">
        <f>Таблица_навык_стрелок[[#This Row],[дальность]]+BW17</f>
        <v>0.06</v>
      </c>
      <c r="BX18" s="172">
        <v>0.03</v>
      </c>
      <c r="BY18" s="242">
        <f>Таблица_навык_стрелок[[#This Row],[урон]]+BY17</f>
        <v>0.06</v>
      </c>
    </row>
    <row r="19" spans="1:77" ht="16.5" thickBot="1" x14ac:dyDescent="0.3">
      <c r="A19" s="120">
        <v>16</v>
      </c>
      <c r="B19" s="100">
        <v>166000</v>
      </c>
      <c r="C19" s="101">
        <f>Таблица_навык_оружие[[#This Row],[опыт]]+C18</f>
        <v>646000</v>
      </c>
      <c r="D19" s="292">
        <v>0</v>
      </c>
      <c r="E19" s="293">
        <f t="shared" si="6"/>
        <v>5</v>
      </c>
      <c r="F19" s="106">
        <v>0.01</v>
      </c>
      <c r="G19" s="280">
        <f>Таблица_навык_оружие[[#This Row],[урон]]+G18</f>
        <v>6.0000000000000005E-2</v>
      </c>
      <c r="H19" s="279">
        <v>0.01</v>
      </c>
      <c r="I19" s="280">
        <f>Таблица_навык_оружие[[#This Row],[урон]]+I18</f>
        <v>6.0000000000000005E-2</v>
      </c>
      <c r="J19" s="279">
        <v>0.01</v>
      </c>
      <c r="K19" s="280">
        <f>Таблица_навык_оружие[[#This Row],[урон]]+K18</f>
        <v>6.0000000000000005E-2</v>
      </c>
      <c r="L19" s="279">
        <v>0.01</v>
      </c>
      <c r="M19" s="280">
        <f>Таблица_навык_оружие[[#This Row],[урон]]+M18</f>
        <v>6.0000000000000005E-2</v>
      </c>
      <c r="N19" s="279">
        <v>0.01</v>
      </c>
      <c r="O19" s="280">
        <f>Таблица_навык_оружие[[#This Row],[урон]]+O18</f>
        <v>6.0000000000000005E-2</v>
      </c>
      <c r="Q19" s="115">
        <v>16</v>
      </c>
      <c r="R19" s="116">
        <v>166000</v>
      </c>
      <c r="S19" s="146">
        <f t="shared" si="0"/>
        <v>646000</v>
      </c>
      <c r="T19" s="260">
        <v>0.01</v>
      </c>
      <c r="U19" s="261">
        <f t="shared" si="1"/>
        <v>0.13999999999999999</v>
      </c>
      <c r="V19" s="268">
        <v>1</v>
      </c>
      <c r="W19" s="308">
        <f t="shared" si="2"/>
        <v>8</v>
      </c>
      <c r="X19" s="268">
        <v>1</v>
      </c>
      <c r="Y19" s="308">
        <f t="shared" si="3"/>
        <v>14</v>
      </c>
      <c r="Z19" s="268"/>
      <c r="AA19" s="308">
        <f t="shared" si="4"/>
        <v>7</v>
      </c>
      <c r="AB19" s="268"/>
      <c r="AC19" s="308">
        <f t="shared" si="5"/>
        <v>7</v>
      </c>
      <c r="AE19" s="115">
        <v>16</v>
      </c>
      <c r="AF19" s="116">
        <v>2169000</v>
      </c>
      <c r="AG19" s="146">
        <f>Таблица_навык_спринтер[[#This Row],[опыт]]+AG18</f>
        <v>6928000</v>
      </c>
      <c r="AH19" s="268">
        <v>1</v>
      </c>
      <c r="AI19" s="308">
        <f>Таблица_навык_спринтер[[#This Row],[ОД]]+AI18</f>
        <v>16</v>
      </c>
      <c r="BA19" s="124">
        <v>16</v>
      </c>
      <c r="BB19" s="125">
        <v>340000</v>
      </c>
      <c r="BC19" s="299">
        <f>Таблица_тренинг_С[[#This Row],[опыт]]+BC18</f>
        <v>1204000</v>
      </c>
      <c r="BD19" s="260">
        <v>0.08</v>
      </c>
      <c r="BE19" s="322">
        <f>Таблица_тренинг_С[[#This Row],[сила2]]+BE18</f>
        <v>1.28</v>
      </c>
      <c r="BG19" s="175">
        <v>3</v>
      </c>
      <c r="BH19" s="178">
        <v>9000</v>
      </c>
      <c r="BI19" s="179">
        <f>Таблица_навык_эфф._производства[[#This Row],[опыт]]+BI18</f>
        <v>17000</v>
      </c>
      <c r="BJ19" s="172">
        <v>-0.05</v>
      </c>
      <c r="BK19" s="234">
        <f>Таблица_навык_эфф._производства[[#This Row],[перерас. Комп.]]+BK18</f>
        <v>-0.15000000000000002</v>
      </c>
      <c r="BM19" s="207">
        <v>16</v>
      </c>
      <c r="BN19" s="203">
        <v>340000</v>
      </c>
      <c r="BO19" s="210">
        <f>Таблица_навык_стрелок[[#This Row],[опыт]]+BO18</f>
        <v>1204000</v>
      </c>
      <c r="BP19" s="172">
        <v>0.04</v>
      </c>
      <c r="BQ19" s="234">
        <f>Таблица_навык_стрелок[[#This Row],[точность]]+BQ18</f>
        <v>0.1</v>
      </c>
      <c r="BR19" s="172"/>
      <c r="BS19" s="246">
        <f>Таблица_навык_стрелок[[#This Row],[крит. Урон]]+BS18</f>
        <v>0.06</v>
      </c>
      <c r="BT19" s="225"/>
      <c r="BU19" s="242">
        <f>Таблица_навык_стрелок[[#This Row],[крит. Поп]]+BU18</f>
        <v>0.06</v>
      </c>
      <c r="BV19" s="172"/>
      <c r="BW19" s="234">
        <f>Таблица_навык_стрелок[[#This Row],[дальность]]+BW18</f>
        <v>0.06</v>
      </c>
      <c r="BX19" s="172"/>
      <c r="BY19" s="242">
        <f>Таблица_навык_стрелок[[#This Row],[урон]]+BY18</f>
        <v>0.06</v>
      </c>
    </row>
    <row r="20" spans="1:77" x14ac:dyDescent="0.25">
      <c r="A20" s="120">
        <v>17</v>
      </c>
      <c r="B20" s="100">
        <v>218000</v>
      </c>
      <c r="C20" s="101">
        <f>Таблица_навык_оружие[[#This Row],[опыт]]+C19</f>
        <v>864000</v>
      </c>
      <c r="D20" s="292">
        <v>0</v>
      </c>
      <c r="E20" s="293">
        <f t="shared" si="6"/>
        <v>5</v>
      </c>
      <c r="F20" s="106">
        <v>0</v>
      </c>
      <c r="G20" s="280">
        <f>Таблица_навык_оружие[[#This Row],[урон]]+G19</f>
        <v>6.0000000000000005E-2</v>
      </c>
      <c r="H20" s="279">
        <v>0</v>
      </c>
      <c r="I20" s="280">
        <f>Таблица_навык_оружие[[#This Row],[урон]]+I19</f>
        <v>6.0000000000000005E-2</v>
      </c>
      <c r="J20" s="279">
        <v>0</v>
      </c>
      <c r="K20" s="280">
        <f>Таблица_навык_оружие[[#This Row],[урон]]+K19</f>
        <v>6.0000000000000005E-2</v>
      </c>
      <c r="L20" s="279">
        <v>0</v>
      </c>
      <c r="M20" s="280">
        <f>Таблица_навык_оружие[[#This Row],[урон]]+M19</f>
        <v>6.0000000000000005E-2</v>
      </c>
      <c r="N20" s="279">
        <v>0</v>
      </c>
      <c r="O20" s="280">
        <f>Таблица_навык_оружие[[#This Row],[урон]]+O19</f>
        <v>6.0000000000000005E-2</v>
      </c>
      <c r="Q20" s="115">
        <v>17</v>
      </c>
      <c r="R20" s="116">
        <v>218000</v>
      </c>
      <c r="S20" s="146">
        <f t="shared" si="0"/>
        <v>864000</v>
      </c>
      <c r="T20" s="260">
        <v>0.01</v>
      </c>
      <c r="U20" s="261">
        <f t="shared" si="1"/>
        <v>0.15</v>
      </c>
      <c r="V20" s="268"/>
      <c r="W20" s="308">
        <f t="shared" si="2"/>
        <v>8</v>
      </c>
      <c r="X20" s="268">
        <v>1</v>
      </c>
      <c r="Y20" s="308">
        <f t="shared" si="3"/>
        <v>15</v>
      </c>
      <c r="Z20" s="268">
        <v>1</v>
      </c>
      <c r="AA20" s="308">
        <f t="shared" si="4"/>
        <v>8</v>
      </c>
      <c r="AB20" s="268">
        <v>1</v>
      </c>
      <c r="AC20" s="308">
        <f t="shared" si="5"/>
        <v>8</v>
      </c>
      <c r="AE20" s="115">
        <v>17</v>
      </c>
      <c r="AF20" s="116">
        <v>3118000</v>
      </c>
      <c r="AG20" s="146">
        <f>Таблица_навык_спринтер[[#This Row],[опыт]]+AG19</f>
        <v>10046000</v>
      </c>
      <c r="AH20" s="268">
        <v>1</v>
      </c>
      <c r="AI20" s="308">
        <f>Таблица_навык_спринтер[[#This Row],[ОД]]+AI19</f>
        <v>17</v>
      </c>
      <c r="AQ20" s="111" t="s">
        <v>140</v>
      </c>
      <c r="AR20" s="112" t="s">
        <v>153</v>
      </c>
      <c r="AS20" s="131" t="s">
        <v>495</v>
      </c>
      <c r="AT20" s="258" t="s">
        <v>493</v>
      </c>
      <c r="AU20" s="259" t="s">
        <v>496</v>
      </c>
      <c r="BA20" s="124">
        <v>17</v>
      </c>
      <c r="BB20" s="125">
        <v>471000</v>
      </c>
      <c r="BC20" s="299">
        <f>Таблица_тренинг_С[[#This Row],[опыт]]+BC19</f>
        <v>1675000</v>
      </c>
      <c r="BD20" s="260">
        <v>0.08</v>
      </c>
      <c r="BE20" s="322">
        <f>Таблица_тренинг_С[[#This Row],[сила2]]+BE19</f>
        <v>1.36</v>
      </c>
      <c r="BG20" s="175">
        <v>4</v>
      </c>
      <c r="BH20" s="178">
        <v>14000</v>
      </c>
      <c r="BI20" s="179">
        <f>Таблица_навык_эфф._производства[[#This Row],[опыт]]+BI19</f>
        <v>31000</v>
      </c>
      <c r="BJ20" s="172">
        <v>-0.05</v>
      </c>
      <c r="BK20" s="234">
        <f>Таблица_навык_эфф._производства[[#This Row],[перерас. Комп.]]+BK19</f>
        <v>-0.2</v>
      </c>
      <c r="BM20" s="207">
        <v>17</v>
      </c>
      <c r="BN20" s="203">
        <v>471000</v>
      </c>
      <c r="BO20" s="210">
        <f>Таблица_навык_стрелок[[#This Row],[опыт]]+BO19</f>
        <v>1675000</v>
      </c>
      <c r="BP20" s="172"/>
      <c r="BQ20" s="234">
        <f>Таблица_навык_стрелок[[#This Row],[точность]]+BQ19</f>
        <v>0.1</v>
      </c>
      <c r="BR20" s="172">
        <v>0.04</v>
      </c>
      <c r="BS20" s="246">
        <f>Таблица_навык_стрелок[[#This Row],[крит. Урон]]+BS19</f>
        <v>0.1</v>
      </c>
      <c r="BT20" s="225"/>
      <c r="BU20" s="242">
        <f>Таблица_навык_стрелок[[#This Row],[крит. Поп]]+BU19</f>
        <v>0.06</v>
      </c>
      <c r="BV20" s="172"/>
      <c r="BW20" s="234">
        <f>Таблица_навык_стрелок[[#This Row],[дальность]]+BW19</f>
        <v>0.06</v>
      </c>
      <c r="BX20" s="172"/>
      <c r="BY20" s="242">
        <f>Таблица_навык_стрелок[[#This Row],[урон]]+BY19</f>
        <v>0.06</v>
      </c>
    </row>
    <row r="21" spans="1:77" x14ac:dyDescent="0.25">
      <c r="A21" s="120">
        <v>18</v>
      </c>
      <c r="B21" s="100">
        <v>289000</v>
      </c>
      <c r="C21" s="101">
        <f>Таблица_навык_оружие[[#This Row],[опыт]]+C20</f>
        <v>1153000</v>
      </c>
      <c r="D21" s="292">
        <v>0</v>
      </c>
      <c r="E21" s="293">
        <f t="shared" si="6"/>
        <v>5</v>
      </c>
      <c r="F21" s="106">
        <v>0.01</v>
      </c>
      <c r="G21" s="280">
        <f>Таблица_навык_оружие[[#This Row],[урон]]+G20</f>
        <v>7.0000000000000007E-2</v>
      </c>
      <c r="H21" s="279">
        <v>0.01</v>
      </c>
      <c r="I21" s="280">
        <f>Таблица_навык_оружие[[#This Row],[урон]]+I20</f>
        <v>7.0000000000000007E-2</v>
      </c>
      <c r="J21" s="279">
        <v>0.01</v>
      </c>
      <c r="K21" s="280">
        <f>Таблица_навык_оружие[[#This Row],[урон]]+K20</f>
        <v>7.0000000000000007E-2</v>
      </c>
      <c r="L21" s="279">
        <v>0.01</v>
      </c>
      <c r="M21" s="280">
        <f>Таблица_навык_оружие[[#This Row],[урон]]+M20</f>
        <v>7.0000000000000007E-2</v>
      </c>
      <c r="N21" s="279">
        <v>0.01</v>
      </c>
      <c r="O21" s="280">
        <f>Таблица_навык_оружие[[#This Row],[урон]]+O20</f>
        <v>7.0000000000000007E-2</v>
      </c>
      <c r="Q21" s="115">
        <v>18</v>
      </c>
      <c r="R21" s="116">
        <v>289000</v>
      </c>
      <c r="S21" s="146">
        <f t="shared" si="0"/>
        <v>1153000</v>
      </c>
      <c r="T21" s="260">
        <v>0.01</v>
      </c>
      <c r="U21" s="261">
        <f t="shared" si="1"/>
        <v>0.16</v>
      </c>
      <c r="V21" s="268">
        <v>1</v>
      </c>
      <c r="W21" s="308">
        <f t="shared" si="2"/>
        <v>9</v>
      </c>
      <c r="X21" s="268">
        <v>1</v>
      </c>
      <c r="Y21" s="308">
        <f t="shared" si="3"/>
        <v>16</v>
      </c>
      <c r="Z21" s="268"/>
      <c r="AA21" s="308">
        <f t="shared" si="4"/>
        <v>8</v>
      </c>
      <c r="AB21" s="268"/>
      <c r="AC21" s="308">
        <f t="shared" si="5"/>
        <v>8</v>
      </c>
      <c r="AE21" s="115">
        <v>18</v>
      </c>
      <c r="AF21" s="116">
        <v>4469000</v>
      </c>
      <c r="AG21" s="146">
        <f>Таблица_навык_спринтер[[#This Row],[опыт]]+AG20</f>
        <v>14515000</v>
      </c>
      <c r="AH21" s="268">
        <v>1</v>
      </c>
      <c r="AI21" s="308">
        <f>Таблица_навык_спринтер[[#This Row],[ОД]]+AI20</f>
        <v>18</v>
      </c>
      <c r="AQ21" s="115">
        <v>0</v>
      </c>
      <c r="AR21" s="132">
        <v>0</v>
      </c>
      <c r="AS21" s="318">
        <v>0</v>
      </c>
      <c r="AT21" s="260"/>
      <c r="AU21" s="332">
        <v>0</v>
      </c>
      <c r="BA21" s="124">
        <v>18</v>
      </c>
      <c r="BB21" s="125">
        <v>649000</v>
      </c>
      <c r="BC21" s="299">
        <f>Таблица_тренинг_С[[#This Row],[опыт]]+BC20</f>
        <v>2324000</v>
      </c>
      <c r="BD21" s="260">
        <v>0.08</v>
      </c>
      <c r="BE21" s="322">
        <f>Таблица_тренинг_С[[#This Row],[сила2]]+BE20</f>
        <v>1.4400000000000002</v>
      </c>
      <c r="BG21" s="175">
        <v>5</v>
      </c>
      <c r="BH21" s="178">
        <v>24000</v>
      </c>
      <c r="BI21" s="179">
        <f>Таблица_навык_эфф._производства[[#This Row],[опыт]]+BI20</f>
        <v>55000</v>
      </c>
      <c r="BJ21" s="172">
        <v>-0.05</v>
      </c>
      <c r="BK21" s="234">
        <f>Таблица_навык_эфф._производства[[#This Row],[перерас. Комп.]]+BK20</f>
        <v>-0.25</v>
      </c>
      <c r="BM21" s="207">
        <v>18</v>
      </c>
      <c r="BN21" s="203">
        <v>649000</v>
      </c>
      <c r="BO21" s="210">
        <f>Таблица_навык_стрелок[[#This Row],[опыт]]+BO20</f>
        <v>2324000</v>
      </c>
      <c r="BP21" s="172"/>
      <c r="BQ21" s="234">
        <f>Таблица_навык_стрелок[[#This Row],[точность]]+BQ20</f>
        <v>0.1</v>
      </c>
      <c r="BR21" s="172"/>
      <c r="BS21" s="246">
        <f>Таблица_навык_стрелок[[#This Row],[крит. Урон]]+BS20</f>
        <v>0.1</v>
      </c>
      <c r="BT21" s="225">
        <v>0.04</v>
      </c>
      <c r="BU21" s="242">
        <f>Таблица_навык_стрелок[[#This Row],[крит. Поп]]+BU20</f>
        <v>0.1</v>
      </c>
      <c r="BV21" s="172"/>
      <c r="BW21" s="234">
        <f>Таблица_навык_стрелок[[#This Row],[дальность]]+BW20</f>
        <v>0.06</v>
      </c>
      <c r="BX21" s="172"/>
      <c r="BY21" s="242">
        <f>Таблица_навык_стрелок[[#This Row],[урон]]+BY20</f>
        <v>0.06</v>
      </c>
    </row>
    <row r="22" spans="1:77" x14ac:dyDescent="0.25">
      <c r="A22" s="120">
        <v>19</v>
      </c>
      <c r="B22" s="100">
        <v>381000</v>
      </c>
      <c r="C22" s="101">
        <f>Таблица_навык_оружие[[#This Row],[опыт]]+C21</f>
        <v>1534000</v>
      </c>
      <c r="D22" s="292">
        <v>0</v>
      </c>
      <c r="E22" s="293">
        <f t="shared" si="6"/>
        <v>5</v>
      </c>
      <c r="F22" s="106">
        <v>0</v>
      </c>
      <c r="G22" s="280">
        <f>Таблица_навык_оружие[[#This Row],[урон]]+G21</f>
        <v>7.0000000000000007E-2</v>
      </c>
      <c r="H22" s="279">
        <v>0</v>
      </c>
      <c r="I22" s="280">
        <f>Таблица_навык_оружие[[#This Row],[урон]]+I21</f>
        <v>7.0000000000000007E-2</v>
      </c>
      <c r="J22" s="279">
        <v>0</v>
      </c>
      <c r="K22" s="280">
        <f>Таблица_навык_оружие[[#This Row],[урон]]+K21</f>
        <v>7.0000000000000007E-2</v>
      </c>
      <c r="L22" s="279">
        <v>0</v>
      </c>
      <c r="M22" s="280">
        <f>Таблица_навык_оружие[[#This Row],[урон]]+M21</f>
        <v>7.0000000000000007E-2</v>
      </c>
      <c r="N22" s="279">
        <v>0</v>
      </c>
      <c r="O22" s="280">
        <f>Таблица_навык_оружие[[#This Row],[урон]]+O21</f>
        <v>7.0000000000000007E-2</v>
      </c>
      <c r="Q22" s="115">
        <v>19</v>
      </c>
      <c r="R22" s="116">
        <v>381000</v>
      </c>
      <c r="S22" s="146">
        <f t="shared" si="0"/>
        <v>1534000</v>
      </c>
      <c r="T22" s="260">
        <v>0.01</v>
      </c>
      <c r="U22" s="261">
        <f t="shared" si="1"/>
        <v>0.17</v>
      </c>
      <c r="V22" s="268"/>
      <c r="W22" s="308">
        <f t="shared" si="2"/>
        <v>9</v>
      </c>
      <c r="X22" s="268">
        <v>1</v>
      </c>
      <c r="Y22" s="308">
        <f t="shared" si="3"/>
        <v>17</v>
      </c>
      <c r="Z22" s="268">
        <v>1</v>
      </c>
      <c r="AA22" s="308">
        <f t="shared" si="4"/>
        <v>9</v>
      </c>
      <c r="AB22" s="268">
        <v>1</v>
      </c>
      <c r="AC22" s="308">
        <f t="shared" si="5"/>
        <v>9</v>
      </c>
      <c r="AE22" s="115">
        <v>19</v>
      </c>
      <c r="AF22" s="116">
        <v>6393000</v>
      </c>
      <c r="AG22" s="146">
        <f>Таблица_навык_спринтер[[#This Row],[опыт]]+AG21</f>
        <v>20908000</v>
      </c>
      <c r="AH22" s="268">
        <v>1</v>
      </c>
      <c r="AI22" s="308">
        <f>Таблица_навык_спринтер[[#This Row],[ОД]]+AI21</f>
        <v>19</v>
      </c>
      <c r="AQ22" s="147">
        <v>1</v>
      </c>
      <c r="AR22" s="132">
        <v>1000</v>
      </c>
      <c r="AS22" s="318">
        <f>Таблица_навык_скаут[[#This Row],[опыт]]+AS21</f>
        <v>1000</v>
      </c>
      <c r="AT22" s="270">
        <v>0.05</v>
      </c>
      <c r="AU22" s="332">
        <f>Таблица_навык_скаут[[#This Row],[скорость по карте]]+AU21</f>
        <v>0.05</v>
      </c>
      <c r="BA22" s="124">
        <v>19</v>
      </c>
      <c r="BB22" s="125">
        <v>889000</v>
      </c>
      <c r="BC22" s="299">
        <f>Таблица_тренинг_С[[#This Row],[опыт]]+BC21</f>
        <v>3213000</v>
      </c>
      <c r="BD22" s="260">
        <v>0.08</v>
      </c>
      <c r="BE22" s="322">
        <f>Таблица_тренинг_С[[#This Row],[сила2]]+BE21</f>
        <v>1.5200000000000002</v>
      </c>
      <c r="BG22" s="175">
        <v>6</v>
      </c>
      <c r="BH22" s="178">
        <v>37000</v>
      </c>
      <c r="BI22" s="179">
        <f>Таблица_навык_эфф._производства[[#This Row],[опыт]]+BI21</f>
        <v>92000</v>
      </c>
      <c r="BJ22" s="172">
        <v>-0.05</v>
      </c>
      <c r="BK22" s="234">
        <f>Таблица_навык_эфф._производства[[#This Row],[перерас. Комп.]]+BK21</f>
        <v>-0.3</v>
      </c>
      <c r="BM22" s="207">
        <v>19</v>
      </c>
      <c r="BN22" s="203">
        <v>889000</v>
      </c>
      <c r="BO22" s="210">
        <f>Таблица_навык_стрелок[[#This Row],[опыт]]+BO21</f>
        <v>3213000</v>
      </c>
      <c r="BP22" s="172"/>
      <c r="BQ22" s="234">
        <f>Таблица_навык_стрелок[[#This Row],[точность]]+BQ21</f>
        <v>0.1</v>
      </c>
      <c r="BR22" s="172"/>
      <c r="BS22" s="246">
        <f>Таблица_навык_стрелок[[#This Row],[крит. Урон]]+BS21</f>
        <v>0.1</v>
      </c>
      <c r="BT22" s="225"/>
      <c r="BU22" s="242">
        <f>Таблица_навык_стрелок[[#This Row],[крит. Поп]]+BU21</f>
        <v>0.1</v>
      </c>
      <c r="BV22" s="172">
        <v>0.04</v>
      </c>
      <c r="BW22" s="234">
        <f>Таблица_навык_стрелок[[#This Row],[дальность]]+BW21</f>
        <v>0.1</v>
      </c>
      <c r="BX22" s="172"/>
      <c r="BY22" s="242">
        <f>Таблица_навык_стрелок[[#This Row],[урон]]+BY21</f>
        <v>0.06</v>
      </c>
    </row>
    <row r="23" spans="1:77" ht="16.5" thickBot="1" x14ac:dyDescent="0.3">
      <c r="A23" s="120">
        <v>20</v>
      </c>
      <c r="B23" s="100">
        <v>500000</v>
      </c>
      <c r="C23" s="101">
        <f>Таблица_навык_оружие[[#This Row],[опыт]]+C22</f>
        <v>2034000</v>
      </c>
      <c r="D23" s="292">
        <v>0</v>
      </c>
      <c r="E23" s="293">
        <f t="shared" si="6"/>
        <v>5</v>
      </c>
      <c r="F23" s="106">
        <v>0.01</v>
      </c>
      <c r="G23" s="280">
        <f>Таблица_навык_оружие[[#This Row],[урон]]+G22</f>
        <v>0.08</v>
      </c>
      <c r="H23" s="279">
        <v>0.01</v>
      </c>
      <c r="I23" s="280">
        <f>Таблица_навык_оружие[[#This Row],[урон]]+I22</f>
        <v>0.08</v>
      </c>
      <c r="J23" s="279">
        <v>0.01</v>
      </c>
      <c r="K23" s="280">
        <f>Таблица_навык_оружие[[#This Row],[урон]]+K22</f>
        <v>0.08</v>
      </c>
      <c r="L23" s="279">
        <v>0.01</v>
      </c>
      <c r="M23" s="280">
        <f>Таблица_навык_оружие[[#This Row],[урон]]+M22</f>
        <v>0.08</v>
      </c>
      <c r="N23" s="279">
        <v>0.01</v>
      </c>
      <c r="O23" s="280">
        <f>Таблица_навык_оружие[[#This Row],[урон]]+O22</f>
        <v>0.08</v>
      </c>
      <c r="Q23" s="115">
        <v>20</v>
      </c>
      <c r="R23" s="116">
        <v>500000</v>
      </c>
      <c r="S23" s="146">
        <f t="shared" si="0"/>
        <v>2034000</v>
      </c>
      <c r="T23" s="260">
        <v>0.01</v>
      </c>
      <c r="U23" s="261">
        <f t="shared" si="1"/>
        <v>0.18000000000000002</v>
      </c>
      <c r="V23" s="268">
        <v>1</v>
      </c>
      <c r="W23" s="308">
        <f t="shared" si="2"/>
        <v>10</v>
      </c>
      <c r="X23" s="268">
        <v>1</v>
      </c>
      <c r="Y23" s="308">
        <f t="shared" si="3"/>
        <v>18</v>
      </c>
      <c r="Z23" s="268"/>
      <c r="AA23" s="308">
        <f t="shared" si="4"/>
        <v>9</v>
      </c>
      <c r="AB23" s="268"/>
      <c r="AC23" s="308">
        <f t="shared" si="5"/>
        <v>9</v>
      </c>
      <c r="AE23" s="118">
        <v>20</v>
      </c>
      <c r="AF23" s="119">
        <v>9124000</v>
      </c>
      <c r="AG23" s="274">
        <f>Таблица_навык_спринтер[[#This Row],[опыт]]+AG22</f>
        <v>30032000</v>
      </c>
      <c r="AH23" s="311">
        <v>1</v>
      </c>
      <c r="AI23" s="310">
        <f>Таблица_навык_спринтер[[#This Row],[ОД]]+AI22</f>
        <v>20</v>
      </c>
      <c r="AQ23" s="115">
        <v>2</v>
      </c>
      <c r="AR23" s="132">
        <v>2000</v>
      </c>
      <c r="AS23" s="318">
        <f>Таблица_навык_скаут[[#This Row],[опыт]]+AS22</f>
        <v>3000</v>
      </c>
      <c r="AT23" s="270">
        <v>0.05</v>
      </c>
      <c r="AU23" s="332">
        <f>Таблица_навык_скаут[[#This Row],[скорость по карте]]+AU22</f>
        <v>0.1</v>
      </c>
      <c r="BA23" s="124">
        <v>20</v>
      </c>
      <c r="BB23" s="125">
        <v>1218000</v>
      </c>
      <c r="BC23" s="299">
        <f>Таблица_тренинг_С[[#This Row],[опыт]]+BC22</f>
        <v>4431000</v>
      </c>
      <c r="BD23" s="260">
        <v>0.08</v>
      </c>
      <c r="BE23" s="322">
        <f>Таблица_тренинг_С[[#This Row],[сила2]]+BE22</f>
        <v>1.6000000000000003</v>
      </c>
      <c r="BG23" s="175">
        <v>7</v>
      </c>
      <c r="BH23" s="178">
        <v>59000</v>
      </c>
      <c r="BI23" s="179">
        <f>Таблица_навык_эфф._производства[[#This Row],[опыт]]+BI22</f>
        <v>151000</v>
      </c>
      <c r="BJ23" s="172">
        <v>-0.05</v>
      </c>
      <c r="BK23" s="234">
        <f>Таблица_навык_эфф._производства[[#This Row],[перерас. Комп.]]+BK22</f>
        <v>-0.35</v>
      </c>
      <c r="BM23" s="207">
        <v>20</v>
      </c>
      <c r="BN23" s="203">
        <v>1218000</v>
      </c>
      <c r="BO23" s="210">
        <f>Таблица_навык_стрелок[[#This Row],[опыт]]+BO22</f>
        <v>4431000</v>
      </c>
      <c r="BP23" s="172"/>
      <c r="BQ23" s="234">
        <f>Таблица_навык_стрелок[[#This Row],[точность]]+BQ22</f>
        <v>0.1</v>
      </c>
      <c r="BR23" s="172"/>
      <c r="BS23" s="246">
        <f>Таблица_навык_стрелок[[#This Row],[крит. Урон]]+BS22</f>
        <v>0.1</v>
      </c>
      <c r="BT23" s="225"/>
      <c r="BU23" s="242">
        <f>Таблица_навык_стрелок[[#This Row],[крит. Поп]]+BU22</f>
        <v>0.1</v>
      </c>
      <c r="BV23" s="172"/>
      <c r="BW23" s="234">
        <f>Таблица_навык_стрелок[[#This Row],[дальность]]+BW22</f>
        <v>0.1</v>
      </c>
      <c r="BX23" s="172">
        <v>0.04</v>
      </c>
      <c r="BY23" s="242">
        <f>Таблица_навык_стрелок[[#This Row],[урон]]+BY22</f>
        <v>0.1</v>
      </c>
    </row>
    <row r="24" spans="1:77" ht="16.5" thickBot="1" x14ac:dyDescent="0.3">
      <c r="A24" s="120">
        <v>21</v>
      </c>
      <c r="B24" s="100">
        <v>658000</v>
      </c>
      <c r="C24" s="101">
        <f>Таблица_навык_оружие[[#This Row],[опыт]]+C23</f>
        <v>2692000</v>
      </c>
      <c r="D24" s="292">
        <v>0</v>
      </c>
      <c r="E24" s="293">
        <f t="shared" si="6"/>
        <v>5</v>
      </c>
      <c r="F24" s="106">
        <v>0</v>
      </c>
      <c r="G24" s="280">
        <f>Таблица_навык_оружие[[#This Row],[урон]]+G23</f>
        <v>0.08</v>
      </c>
      <c r="H24" s="279">
        <v>0</v>
      </c>
      <c r="I24" s="280">
        <f>Таблица_навык_оружие[[#This Row],[урон]]+I23</f>
        <v>0.08</v>
      </c>
      <c r="J24" s="279">
        <v>0</v>
      </c>
      <c r="K24" s="280">
        <f>Таблица_навык_оружие[[#This Row],[урон]]+K23</f>
        <v>0.08</v>
      </c>
      <c r="L24" s="279">
        <v>0</v>
      </c>
      <c r="M24" s="280">
        <f>Таблица_навык_оружие[[#This Row],[урон]]+M23</f>
        <v>0.08</v>
      </c>
      <c r="N24" s="279">
        <v>0</v>
      </c>
      <c r="O24" s="280">
        <f>Таблица_навык_оружие[[#This Row],[урон]]+O23</f>
        <v>0.08</v>
      </c>
      <c r="Q24" s="115">
        <v>21</v>
      </c>
      <c r="R24" s="116">
        <v>658000</v>
      </c>
      <c r="S24" s="146">
        <f t="shared" si="0"/>
        <v>2692000</v>
      </c>
      <c r="T24" s="260">
        <v>0.01</v>
      </c>
      <c r="U24" s="261">
        <f t="shared" si="1"/>
        <v>0.19000000000000003</v>
      </c>
      <c r="V24" s="268"/>
      <c r="W24" s="308">
        <f t="shared" si="2"/>
        <v>10</v>
      </c>
      <c r="X24" s="268">
        <v>1</v>
      </c>
      <c r="Y24" s="308">
        <f t="shared" si="3"/>
        <v>19</v>
      </c>
      <c r="Z24" s="268">
        <v>1</v>
      </c>
      <c r="AA24" s="308">
        <f t="shared" si="4"/>
        <v>10</v>
      </c>
      <c r="AB24" s="268">
        <v>1</v>
      </c>
      <c r="AC24" s="308">
        <f t="shared" si="5"/>
        <v>10</v>
      </c>
      <c r="AQ24" s="147">
        <v>3</v>
      </c>
      <c r="AR24" s="132">
        <v>4000</v>
      </c>
      <c r="AS24" s="318">
        <f>Таблица_навык_скаут[[#This Row],[опыт]]+AS23</f>
        <v>7000</v>
      </c>
      <c r="AT24" s="270">
        <v>0.05</v>
      </c>
      <c r="AU24" s="332">
        <f>Таблица_навык_скаут[[#This Row],[скорость по карте]]+AU23</f>
        <v>0.15000000000000002</v>
      </c>
      <c r="BA24" s="124">
        <v>21</v>
      </c>
      <c r="BB24" s="125">
        <v>1663000</v>
      </c>
      <c r="BC24" s="299">
        <f>Таблица_тренинг_С[[#This Row],[опыт]]+BC23</f>
        <v>6094000</v>
      </c>
      <c r="BD24" s="260">
        <v>0.08</v>
      </c>
      <c r="BE24" s="322">
        <f>Таблица_тренинг_С[[#This Row],[сила2]]+BE23</f>
        <v>1.6800000000000004</v>
      </c>
      <c r="BG24" s="175">
        <v>8</v>
      </c>
      <c r="BH24" s="178">
        <v>92000</v>
      </c>
      <c r="BI24" s="179">
        <f>Таблица_навык_эфф._производства[[#This Row],[опыт]]+BI23</f>
        <v>243000</v>
      </c>
      <c r="BJ24" s="172">
        <v>-0.05</v>
      </c>
      <c r="BK24" s="234">
        <f>Таблица_навык_эфф._производства[[#This Row],[перерас. Комп.]]+BK23</f>
        <v>-0.39999999999999997</v>
      </c>
      <c r="BM24" s="207">
        <v>21</v>
      </c>
      <c r="BN24" s="203">
        <v>1663000</v>
      </c>
      <c r="BO24" s="210">
        <f>Таблица_навык_стрелок[[#This Row],[опыт]]+BO23</f>
        <v>6094000</v>
      </c>
      <c r="BP24" s="172">
        <v>0.05</v>
      </c>
      <c r="BQ24" s="234">
        <f>Таблица_навык_стрелок[[#This Row],[точность]]+BQ23</f>
        <v>0.15000000000000002</v>
      </c>
      <c r="BR24" s="172"/>
      <c r="BS24" s="246">
        <f>Таблица_навык_стрелок[[#This Row],[крит. Урон]]+BS23</f>
        <v>0.1</v>
      </c>
      <c r="BT24" s="225"/>
      <c r="BU24" s="242">
        <f>Таблица_навык_стрелок[[#This Row],[крит. Поп]]+BU23</f>
        <v>0.1</v>
      </c>
      <c r="BV24" s="172"/>
      <c r="BW24" s="234">
        <f>Таблица_навык_стрелок[[#This Row],[дальность]]+BW23</f>
        <v>0.1</v>
      </c>
      <c r="BX24" s="172"/>
      <c r="BY24" s="242">
        <f>Таблица_навык_стрелок[[#This Row],[урон]]+BY23</f>
        <v>0.1</v>
      </c>
    </row>
    <row r="25" spans="1:77" x14ac:dyDescent="0.25">
      <c r="A25" s="120">
        <v>22</v>
      </c>
      <c r="B25" s="100">
        <v>861000</v>
      </c>
      <c r="C25" s="101">
        <f>Таблица_навык_оружие[[#This Row],[опыт]]+C24</f>
        <v>3553000</v>
      </c>
      <c r="D25" s="292">
        <v>0</v>
      </c>
      <c r="E25" s="293">
        <f t="shared" si="6"/>
        <v>5</v>
      </c>
      <c r="F25" s="106">
        <v>0.01</v>
      </c>
      <c r="G25" s="280">
        <f>Таблица_навык_оружие[[#This Row],[урон]]+G24</f>
        <v>0.09</v>
      </c>
      <c r="H25" s="279">
        <v>0.01</v>
      </c>
      <c r="I25" s="280">
        <f>Таблица_навык_оружие[[#This Row],[урон]]+I24</f>
        <v>0.09</v>
      </c>
      <c r="J25" s="279">
        <v>0.01</v>
      </c>
      <c r="K25" s="280">
        <f>Таблица_навык_оружие[[#This Row],[урон]]+K24</f>
        <v>0.09</v>
      </c>
      <c r="L25" s="279">
        <v>0.01</v>
      </c>
      <c r="M25" s="280">
        <f>Таблица_навык_оружие[[#This Row],[урон]]+M24</f>
        <v>0.09</v>
      </c>
      <c r="N25" s="279">
        <v>0.01</v>
      </c>
      <c r="O25" s="280">
        <f>Таблица_навык_оружие[[#This Row],[урон]]+O24</f>
        <v>0.09</v>
      </c>
      <c r="Q25" s="115">
        <v>22</v>
      </c>
      <c r="R25" s="116">
        <v>861000</v>
      </c>
      <c r="S25" s="146">
        <f t="shared" si="0"/>
        <v>3553000</v>
      </c>
      <c r="T25" s="260">
        <v>0.01</v>
      </c>
      <c r="U25" s="261">
        <f t="shared" si="1"/>
        <v>0.20000000000000004</v>
      </c>
      <c r="V25" s="268">
        <v>1</v>
      </c>
      <c r="W25" s="308">
        <f t="shared" si="2"/>
        <v>11</v>
      </c>
      <c r="X25" s="268">
        <v>1</v>
      </c>
      <c r="Y25" s="308">
        <f t="shared" si="3"/>
        <v>20</v>
      </c>
      <c r="Z25" s="268"/>
      <c r="AA25" s="308">
        <f t="shared" si="4"/>
        <v>10</v>
      </c>
      <c r="AB25" s="268"/>
      <c r="AC25" s="308">
        <f t="shared" si="5"/>
        <v>10</v>
      </c>
      <c r="AE25" s="111" t="s">
        <v>129</v>
      </c>
      <c r="AF25" s="112" t="s">
        <v>514</v>
      </c>
      <c r="AG25" s="131" t="s">
        <v>495</v>
      </c>
      <c r="AH25" s="258" t="s">
        <v>332</v>
      </c>
      <c r="AI25" s="269" t="s">
        <v>496</v>
      </c>
      <c r="AQ25" s="115">
        <v>4</v>
      </c>
      <c r="AR25" s="132">
        <v>4000</v>
      </c>
      <c r="AS25" s="318">
        <f>Таблица_навык_скаут[[#This Row],[опыт]]+AS24</f>
        <v>11000</v>
      </c>
      <c r="AT25" s="270">
        <v>0.05</v>
      </c>
      <c r="AU25" s="332">
        <f>Таблица_навык_скаут[[#This Row],[скорость по карте]]+AU24</f>
        <v>0.2</v>
      </c>
      <c r="BA25" s="124">
        <v>22</v>
      </c>
      <c r="BB25" s="125">
        <v>2270000</v>
      </c>
      <c r="BC25" s="299">
        <f>Таблица_тренинг_С[[#This Row],[опыт]]+BC24</f>
        <v>8364000</v>
      </c>
      <c r="BD25" s="260">
        <v>0.08</v>
      </c>
      <c r="BE25" s="322">
        <f>Таблица_тренинг_С[[#This Row],[сила2]]+BE24</f>
        <v>1.7600000000000005</v>
      </c>
      <c r="BG25" s="175">
        <v>9</v>
      </c>
      <c r="BH25" s="178">
        <v>141000</v>
      </c>
      <c r="BI25" s="179">
        <f>Таблица_навык_эфф._производства[[#This Row],[опыт]]+BI24</f>
        <v>384000</v>
      </c>
      <c r="BJ25" s="172">
        <v>-0.05</v>
      </c>
      <c r="BK25" s="234">
        <f>Таблица_навык_эфф._производства[[#This Row],[перерас. Комп.]]+BK24</f>
        <v>-0.44999999999999996</v>
      </c>
      <c r="BM25" s="207">
        <v>22</v>
      </c>
      <c r="BN25" s="203">
        <v>2270000</v>
      </c>
      <c r="BO25" s="210">
        <f>Таблица_навык_стрелок[[#This Row],[опыт]]+BO24</f>
        <v>8364000</v>
      </c>
      <c r="BP25" s="172"/>
      <c r="BQ25" s="234">
        <f>Таблица_навык_стрелок[[#This Row],[точность]]+BQ24</f>
        <v>0.15000000000000002</v>
      </c>
      <c r="BR25" s="172">
        <v>0.05</v>
      </c>
      <c r="BS25" s="246">
        <f>Таблица_навык_стрелок[[#This Row],[крит. Урон]]+BS24</f>
        <v>0.15000000000000002</v>
      </c>
      <c r="BT25" s="225"/>
      <c r="BU25" s="242">
        <f>Таблица_навык_стрелок[[#This Row],[крит. Поп]]+BU24</f>
        <v>0.1</v>
      </c>
      <c r="BV25" s="172"/>
      <c r="BW25" s="234">
        <f>Таблица_навык_стрелок[[#This Row],[дальность]]+BW24</f>
        <v>0.1</v>
      </c>
      <c r="BX25" s="172"/>
      <c r="BY25" s="242">
        <f>Таблица_навык_стрелок[[#This Row],[урон]]+BY24</f>
        <v>0.1</v>
      </c>
    </row>
    <row r="26" spans="1:77" ht="16.5" thickBot="1" x14ac:dyDescent="0.3">
      <c r="A26" s="120">
        <v>23</v>
      </c>
      <c r="B26" s="100">
        <v>1127000</v>
      </c>
      <c r="C26" s="101">
        <f>Таблица_навык_оружие[[#This Row],[опыт]]+C25</f>
        <v>4680000</v>
      </c>
      <c r="D26" s="292">
        <v>0</v>
      </c>
      <c r="E26" s="293">
        <f t="shared" si="6"/>
        <v>5</v>
      </c>
      <c r="F26" s="106">
        <v>0</v>
      </c>
      <c r="G26" s="280">
        <f>Таблица_навык_оружие[[#This Row],[урон]]+G25</f>
        <v>0.09</v>
      </c>
      <c r="H26" s="279">
        <v>0</v>
      </c>
      <c r="I26" s="280">
        <f>Таблица_навык_оружие[[#This Row],[урон]]+I25</f>
        <v>0.09</v>
      </c>
      <c r="J26" s="279">
        <v>0</v>
      </c>
      <c r="K26" s="280">
        <f>Таблица_навык_оружие[[#This Row],[урон]]+K25</f>
        <v>0.09</v>
      </c>
      <c r="L26" s="279">
        <v>0</v>
      </c>
      <c r="M26" s="280">
        <f>Таблица_навык_оружие[[#This Row],[урон]]+M25</f>
        <v>0.09</v>
      </c>
      <c r="N26" s="279">
        <v>0</v>
      </c>
      <c r="O26" s="280">
        <f>Таблица_навык_оружие[[#This Row],[урон]]+O25</f>
        <v>0.09</v>
      </c>
      <c r="Q26" s="115">
        <v>23</v>
      </c>
      <c r="R26" s="116">
        <v>1127000</v>
      </c>
      <c r="S26" s="146">
        <f t="shared" si="0"/>
        <v>4680000</v>
      </c>
      <c r="T26" s="260">
        <v>0.01</v>
      </c>
      <c r="U26" s="261">
        <f t="shared" si="1"/>
        <v>0.21000000000000005</v>
      </c>
      <c r="V26" s="268"/>
      <c r="W26" s="308">
        <f t="shared" si="2"/>
        <v>11</v>
      </c>
      <c r="X26" s="268">
        <v>1</v>
      </c>
      <c r="Y26" s="308">
        <f t="shared" si="3"/>
        <v>21</v>
      </c>
      <c r="Z26" s="268">
        <v>1</v>
      </c>
      <c r="AA26" s="308">
        <f t="shared" si="4"/>
        <v>11</v>
      </c>
      <c r="AB26" s="268">
        <v>1</v>
      </c>
      <c r="AC26" s="308">
        <f t="shared" si="5"/>
        <v>11</v>
      </c>
      <c r="AE26" s="115">
        <v>0</v>
      </c>
      <c r="AF26" s="116">
        <v>0</v>
      </c>
      <c r="AG26" s="146">
        <v>0</v>
      </c>
      <c r="AH26" s="268"/>
      <c r="AI26" s="261">
        <v>0</v>
      </c>
      <c r="AQ26" s="147">
        <v>5</v>
      </c>
      <c r="AR26" s="132">
        <v>8000</v>
      </c>
      <c r="AS26" s="318">
        <f>Таблица_навык_скаут[[#This Row],[опыт]]+AS25</f>
        <v>19000</v>
      </c>
      <c r="AT26" s="270">
        <v>0.05</v>
      </c>
      <c r="AU26" s="332">
        <f>Таблица_навык_скаут[[#This Row],[скорость по карте]]+AU25</f>
        <v>0.25</v>
      </c>
      <c r="BA26" s="124">
        <v>23</v>
      </c>
      <c r="BB26" s="125">
        <v>3090000</v>
      </c>
      <c r="BC26" s="299">
        <f>Таблица_тренинг_С[[#This Row],[опыт]]+BC25</f>
        <v>11454000</v>
      </c>
      <c r="BD26" s="260">
        <v>0.08</v>
      </c>
      <c r="BE26" s="322">
        <f>Таблица_тренинг_С[[#This Row],[сила2]]+BE25</f>
        <v>1.8400000000000005</v>
      </c>
      <c r="BG26" s="176">
        <v>10</v>
      </c>
      <c r="BH26" s="180">
        <v>216000</v>
      </c>
      <c r="BI26" s="181">
        <f>Таблица_навык_эфф._производства[[#This Row],[опыт]]+BI25</f>
        <v>600000</v>
      </c>
      <c r="BJ26" s="173">
        <v>-0.05</v>
      </c>
      <c r="BK26" s="235">
        <f>Таблица_навык_эфф._производства[[#This Row],[перерас. Комп.]]+BK25</f>
        <v>-0.49999999999999994</v>
      </c>
      <c r="BM26" s="207">
        <v>23</v>
      </c>
      <c r="BN26" s="203">
        <v>3090000</v>
      </c>
      <c r="BO26" s="210">
        <f>Таблица_навык_стрелок[[#This Row],[опыт]]+BO25</f>
        <v>11454000</v>
      </c>
      <c r="BP26" s="172"/>
      <c r="BQ26" s="234">
        <f>Таблица_навык_стрелок[[#This Row],[точность]]+BQ25</f>
        <v>0.15000000000000002</v>
      </c>
      <c r="BR26" s="172"/>
      <c r="BS26" s="246">
        <f>Таблица_навык_стрелок[[#This Row],[крит. Урон]]+BS25</f>
        <v>0.15000000000000002</v>
      </c>
      <c r="BT26" s="225">
        <v>0.05</v>
      </c>
      <c r="BU26" s="242">
        <f>Таблица_навык_стрелок[[#This Row],[крит. Поп]]+BU25</f>
        <v>0.15000000000000002</v>
      </c>
      <c r="BV26" s="172"/>
      <c r="BW26" s="234">
        <f>Таблица_навык_стрелок[[#This Row],[дальность]]+BW25</f>
        <v>0.1</v>
      </c>
      <c r="BX26" s="172"/>
      <c r="BY26" s="242">
        <f>Таблица_навык_стрелок[[#This Row],[урон]]+BY25</f>
        <v>0.1</v>
      </c>
    </row>
    <row r="27" spans="1:77" ht="16.5" thickBot="1" x14ac:dyDescent="0.3">
      <c r="A27" s="120">
        <v>24</v>
      </c>
      <c r="B27" s="100">
        <v>1473000</v>
      </c>
      <c r="C27" s="101">
        <f>Таблица_навык_оружие[[#This Row],[опыт]]+C26</f>
        <v>6153000</v>
      </c>
      <c r="D27" s="292">
        <v>0</v>
      </c>
      <c r="E27" s="293">
        <f t="shared" si="6"/>
        <v>5</v>
      </c>
      <c r="F27" s="106">
        <v>0.01</v>
      </c>
      <c r="G27" s="280">
        <f>Таблица_навык_оружие[[#This Row],[урон]]+G26</f>
        <v>9.9999999999999992E-2</v>
      </c>
      <c r="H27" s="279">
        <v>0.01</v>
      </c>
      <c r="I27" s="280">
        <f>Таблица_навык_оружие[[#This Row],[урон]]+I26</f>
        <v>9.9999999999999992E-2</v>
      </c>
      <c r="J27" s="279">
        <v>0.01</v>
      </c>
      <c r="K27" s="280">
        <f>Таблица_навык_оружие[[#This Row],[урон]]+K26</f>
        <v>9.9999999999999992E-2</v>
      </c>
      <c r="L27" s="279">
        <v>0.01</v>
      </c>
      <c r="M27" s="280">
        <f>Таблица_навык_оружие[[#This Row],[урон]]+M26</f>
        <v>9.9999999999999992E-2</v>
      </c>
      <c r="N27" s="279">
        <v>0.01</v>
      </c>
      <c r="O27" s="280">
        <f>Таблица_навык_оружие[[#This Row],[урон]]+O26</f>
        <v>9.9999999999999992E-2</v>
      </c>
      <c r="Q27" s="115">
        <v>24</v>
      </c>
      <c r="R27" s="116">
        <v>1473000</v>
      </c>
      <c r="S27" s="146">
        <f t="shared" si="0"/>
        <v>6153000</v>
      </c>
      <c r="T27" s="260">
        <v>0.01</v>
      </c>
      <c r="U27" s="261">
        <f t="shared" si="1"/>
        <v>0.22000000000000006</v>
      </c>
      <c r="V27" s="268">
        <v>1</v>
      </c>
      <c r="W27" s="308">
        <f t="shared" si="2"/>
        <v>12</v>
      </c>
      <c r="X27" s="268">
        <v>1</v>
      </c>
      <c r="Y27" s="308">
        <f t="shared" si="3"/>
        <v>22</v>
      </c>
      <c r="Z27" s="268"/>
      <c r="AA27" s="308">
        <f t="shared" si="4"/>
        <v>11</v>
      </c>
      <c r="AB27" s="268"/>
      <c r="AC27" s="308">
        <f t="shared" si="5"/>
        <v>11</v>
      </c>
      <c r="AE27" s="115">
        <v>1</v>
      </c>
      <c r="AF27" s="116">
        <v>1000</v>
      </c>
      <c r="AG27" s="146">
        <f>Таблица_навык_первая_помощь[[#This Row],[опыт ]]+AG26</f>
        <v>1000</v>
      </c>
      <c r="AH27" s="260">
        <v>0.05</v>
      </c>
      <c r="AI27" s="261">
        <f>Таблица_навык_первая_помощь[[#This Row],[эфф. Аптечек]]+AI26</f>
        <v>0.05</v>
      </c>
      <c r="AQ27" s="115">
        <v>6</v>
      </c>
      <c r="AR27" s="132">
        <v>10000</v>
      </c>
      <c r="AS27" s="318">
        <f>Таблица_навык_скаут[[#This Row],[опыт]]+AS26</f>
        <v>29000</v>
      </c>
      <c r="AT27" s="270">
        <v>0.05</v>
      </c>
      <c r="AU27" s="332">
        <f>Таблица_навык_скаут[[#This Row],[скорость по карте]]+AU26</f>
        <v>0.3</v>
      </c>
      <c r="BA27" s="124">
        <v>24</v>
      </c>
      <c r="BB27" s="125">
        <v>4203000</v>
      </c>
      <c r="BC27" s="299">
        <f>Таблица_тренинг_С[[#This Row],[опыт]]+BC26</f>
        <v>15657000</v>
      </c>
      <c r="BD27" s="260">
        <v>0.08</v>
      </c>
      <c r="BE27" s="322">
        <f>Таблица_тренинг_С[[#This Row],[сила2]]+BE26</f>
        <v>1.9200000000000006</v>
      </c>
      <c r="BM27" s="207">
        <v>24</v>
      </c>
      <c r="BN27" s="203">
        <v>4203000</v>
      </c>
      <c r="BO27" s="210">
        <f>Таблица_навык_стрелок[[#This Row],[опыт]]+BO26</f>
        <v>15657000</v>
      </c>
      <c r="BP27" s="172"/>
      <c r="BQ27" s="234">
        <f>Таблица_навык_стрелок[[#This Row],[точность]]+BQ26</f>
        <v>0.15000000000000002</v>
      </c>
      <c r="BR27" s="172"/>
      <c r="BS27" s="246">
        <f>Таблица_навык_стрелок[[#This Row],[крит. Урон]]+BS26</f>
        <v>0.15000000000000002</v>
      </c>
      <c r="BT27" s="225"/>
      <c r="BU27" s="242">
        <f>Таблица_навык_стрелок[[#This Row],[крит. Поп]]+BU26</f>
        <v>0.15000000000000002</v>
      </c>
      <c r="BV27" s="172">
        <v>0.05</v>
      </c>
      <c r="BW27" s="234">
        <f>Таблица_навык_стрелок[[#This Row],[дальность]]+BW26</f>
        <v>0.15000000000000002</v>
      </c>
      <c r="BX27" s="172"/>
      <c r="BY27" s="242">
        <f>Таблица_навык_стрелок[[#This Row],[урон]]+BY26</f>
        <v>0.1</v>
      </c>
    </row>
    <row r="28" spans="1:77" ht="16.5" thickBot="1" x14ac:dyDescent="0.3">
      <c r="A28" s="120">
        <v>25</v>
      </c>
      <c r="B28" s="100">
        <v>1923000</v>
      </c>
      <c r="C28" s="101">
        <f>Таблица_навык_оружие[[#This Row],[опыт]]+C27</f>
        <v>8076000</v>
      </c>
      <c r="D28" s="292">
        <v>0</v>
      </c>
      <c r="E28" s="293">
        <f t="shared" si="6"/>
        <v>5</v>
      </c>
      <c r="F28" s="106">
        <v>0</v>
      </c>
      <c r="G28" s="280">
        <f>Таблица_навык_оружие[[#This Row],[урон]]+G27</f>
        <v>9.9999999999999992E-2</v>
      </c>
      <c r="H28" s="279">
        <v>0</v>
      </c>
      <c r="I28" s="280">
        <f>Таблица_навык_оружие[[#This Row],[урон]]+I27</f>
        <v>9.9999999999999992E-2</v>
      </c>
      <c r="J28" s="279">
        <v>0</v>
      </c>
      <c r="K28" s="280">
        <f>Таблица_навык_оружие[[#This Row],[урон]]+K27</f>
        <v>9.9999999999999992E-2</v>
      </c>
      <c r="L28" s="279">
        <v>0</v>
      </c>
      <c r="M28" s="280">
        <f>Таблица_навык_оружие[[#This Row],[урон]]+M27</f>
        <v>9.9999999999999992E-2</v>
      </c>
      <c r="N28" s="279">
        <v>0</v>
      </c>
      <c r="O28" s="280">
        <f>Таблица_навык_оружие[[#This Row],[урон]]+O27</f>
        <v>9.9999999999999992E-2</v>
      </c>
      <c r="Q28" s="115">
        <v>25</v>
      </c>
      <c r="R28" s="116">
        <v>1923000</v>
      </c>
      <c r="S28" s="146">
        <f t="shared" si="0"/>
        <v>8076000</v>
      </c>
      <c r="T28" s="260">
        <v>0.01</v>
      </c>
      <c r="U28" s="261">
        <f t="shared" si="1"/>
        <v>0.23000000000000007</v>
      </c>
      <c r="V28" s="268"/>
      <c r="W28" s="308">
        <f t="shared" si="2"/>
        <v>12</v>
      </c>
      <c r="X28" s="268">
        <v>1</v>
      </c>
      <c r="Y28" s="308">
        <f t="shared" si="3"/>
        <v>23</v>
      </c>
      <c r="Z28" s="268">
        <v>1</v>
      </c>
      <c r="AA28" s="308">
        <f t="shared" si="4"/>
        <v>12</v>
      </c>
      <c r="AB28" s="268">
        <v>1</v>
      </c>
      <c r="AC28" s="308">
        <f t="shared" si="5"/>
        <v>12</v>
      </c>
      <c r="AE28" s="115">
        <v>2</v>
      </c>
      <c r="AF28" s="116">
        <v>2000</v>
      </c>
      <c r="AG28" s="146">
        <f>Таблица_навык_первая_помощь[[#This Row],[опыт ]]+AG27</f>
        <v>3000</v>
      </c>
      <c r="AH28" s="260">
        <v>0.05</v>
      </c>
      <c r="AI28" s="261">
        <f>Таблица_навык_первая_помощь[[#This Row],[эфф. Аптечек]]+AI27</f>
        <v>0.1</v>
      </c>
      <c r="AQ28" s="147">
        <v>7</v>
      </c>
      <c r="AR28" s="132">
        <v>15000</v>
      </c>
      <c r="AS28" s="318">
        <f>Таблица_навык_скаут[[#This Row],[опыт]]+AS27</f>
        <v>44000</v>
      </c>
      <c r="AT28" s="270">
        <v>0.05</v>
      </c>
      <c r="AU28" s="332">
        <f>Таблица_навык_скаут[[#This Row],[скорость по карте]]+AU27</f>
        <v>0.35</v>
      </c>
      <c r="BA28" s="118">
        <v>25</v>
      </c>
      <c r="BB28" s="119">
        <v>5709000</v>
      </c>
      <c r="BC28" s="274">
        <f>Таблица_тренинг_С[[#This Row],[опыт]]+BC27</f>
        <v>21366000</v>
      </c>
      <c r="BD28" s="266">
        <v>0.08</v>
      </c>
      <c r="BE28" s="323">
        <f>Таблица_тренинг_С[[#This Row],[сила2]]+BE27</f>
        <v>2.0000000000000004</v>
      </c>
      <c r="BF28" s="12"/>
      <c r="BG28" s="194" t="s">
        <v>164</v>
      </c>
      <c r="BH28" s="182" t="s">
        <v>153</v>
      </c>
      <c r="BI28" s="183" t="s">
        <v>495</v>
      </c>
      <c r="BJ28" s="182" t="s">
        <v>547</v>
      </c>
      <c r="BK28" s="230" t="s">
        <v>496</v>
      </c>
      <c r="BM28" s="208">
        <v>25</v>
      </c>
      <c r="BN28" s="209">
        <v>5709000</v>
      </c>
      <c r="BO28" s="211">
        <f>Таблица_навык_стрелок[[#This Row],[опыт]]+BO27</f>
        <v>21366000</v>
      </c>
      <c r="BP28" s="173"/>
      <c r="BQ28" s="235">
        <f>Таблица_навык_стрелок[[#This Row],[точность]]+BQ27</f>
        <v>0.15000000000000002</v>
      </c>
      <c r="BR28" s="173"/>
      <c r="BS28" s="247">
        <f>Таблица_навык_стрелок[[#This Row],[крит. Урон]]+BS27</f>
        <v>0.15000000000000002</v>
      </c>
      <c r="BT28" s="226"/>
      <c r="BU28" s="243">
        <f>Таблица_навык_стрелок[[#This Row],[крит. Поп]]+BU27</f>
        <v>0.15000000000000002</v>
      </c>
      <c r="BV28" s="214"/>
      <c r="BW28" s="250">
        <f>Таблица_навык_стрелок[[#This Row],[дальность]]+BW27</f>
        <v>0.15000000000000002</v>
      </c>
      <c r="BX28" s="214">
        <v>0.05</v>
      </c>
      <c r="BY28" s="243">
        <f>Таблица_навык_стрелок[[#This Row],[урон]]+BY27</f>
        <v>0.15000000000000002</v>
      </c>
    </row>
    <row r="29" spans="1:77" ht="16.5" thickBot="1" x14ac:dyDescent="0.3">
      <c r="A29" s="120">
        <v>26</v>
      </c>
      <c r="B29" s="100">
        <v>2507000</v>
      </c>
      <c r="C29" s="101">
        <f>Таблица_навык_оружие[[#This Row],[опыт]]+C28</f>
        <v>10583000</v>
      </c>
      <c r="D29" s="292">
        <v>0</v>
      </c>
      <c r="E29" s="293">
        <f t="shared" si="6"/>
        <v>5</v>
      </c>
      <c r="F29" s="106">
        <v>0.01</v>
      </c>
      <c r="G29" s="280">
        <f>Таблица_навык_оружие[[#This Row],[урон]]+G28</f>
        <v>0.10999999999999999</v>
      </c>
      <c r="H29" s="279">
        <v>0.01</v>
      </c>
      <c r="I29" s="280">
        <f>Таблица_навык_оружие[[#This Row],[урон]]+I28</f>
        <v>0.10999999999999999</v>
      </c>
      <c r="J29" s="279">
        <v>0.01</v>
      </c>
      <c r="K29" s="280">
        <f>Таблица_навык_оружие[[#This Row],[урон]]+K28</f>
        <v>0.10999999999999999</v>
      </c>
      <c r="L29" s="279">
        <v>0.01</v>
      </c>
      <c r="M29" s="280">
        <f>Таблица_навык_оружие[[#This Row],[урон]]+M28</f>
        <v>0.10999999999999999</v>
      </c>
      <c r="N29" s="279">
        <v>0.01</v>
      </c>
      <c r="O29" s="280">
        <f>Таблица_навык_оружие[[#This Row],[урон]]+O28</f>
        <v>0.10999999999999999</v>
      </c>
      <c r="Q29" s="115">
        <v>26</v>
      </c>
      <c r="R29" s="116">
        <v>2507000</v>
      </c>
      <c r="S29" s="146">
        <f t="shared" si="0"/>
        <v>10583000</v>
      </c>
      <c r="T29" s="260">
        <v>0.01</v>
      </c>
      <c r="U29" s="261">
        <f t="shared" si="1"/>
        <v>0.24000000000000007</v>
      </c>
      <c r="V29" s="268">
        <v>1</v>
      </c>
      <c r="W29" s="308">
        <f t="shared" si="2"/>
        <v>13</v>
      </c>
      <c r="X29" s="268">
        <v>1</v>
      </c>
      <c r="Y29" s="308">
        <f t="shared" si="3"/>
        <v>24</v>
      </c>
      <c r="Z29" s="268"/>
      <c r="AA29" s="308">
        <f t="shared" si="4"/>
        <v>12</v>
      </c>
      <c r="AB29" s="268"/>
      <c r="AC29" s="308">
        <f t="shared" si="5"/>
        <v>12</v>
      </c>
      <c r="AE29" s="115">
        <v>3</v>
      </c>
      <c r="AF29" s="116">
        <v>3000</v>
      </c>
      <c r="AG29" s="146">
        <f>Таблица_навык_первая_помощь[[#This Row],[опыт ]]+AG28</f>
        <v>6000</v>
      </c>
      <c r="AH29" s="260">
        <v>0.05</v>
      </c>
      <c r="AI29" s="261">
        <f>Таблица_навык_первая_помощь[[#This Row],[эфф. Аптечек]]+AI28</f>
        <v>0.15000000000000002</v>
      </c>
      <c r="AQ29" s="115">
        <v>8</v>
      </c>
      <c r="AR29" s="132">
        <v>22000</v>
      </c>
      <c r="AS29" s="318">
        <f>Таблица_навык_скаут[[#This Row],[опыт]]+AS28</f>
        <v>66000</v>
      </c>
      <c r="AT29" s="270">
        <v>0.05</v>
      </c>
      <c r="AU29" s="332">
        <f>Таблица_навык_скаут[[#This Row],[скорость по карте]]+AU28</f>
        <v>0.39999999999999997</v>
      </c>
      <c r="BG29" s="195">
        <v>0</v>
      </c>
      <c r="BH29" s="186">
        <v>0</v>
      </c>
      <c r="BI29" s="187">
        <v>0</v>
      </c>
      <c r="BJ29" s="186"/>
      <c r="BK29" s="236">
        <v>0</v>
      </c>
    </row>
    <row r="30" spans="1:77" x14ac:dyDescent="0.25">
      <c r="A30" s="120">
        <v>27</v>
      </c>
      <c r="B30" s="100">
        <v>3264000</v>
      </c>
      <c r="C30" s="101">
        <f>Таблица_навык_оружие[[#This Row],[опыт]]+C29</f>
        <v>13847000</v>
      </c>
      <c r="D30" s="292">
        <v>0</v>
      </c>
      <c r="E30" s="293">
        <f t="shared" si="6"/>
        <v>5</v>
      </c>
      <c r="F30" s="106">
        <v>0</v>
      </c>
      <c r="G30" s="280">
        <f>Таблица_навык_оружие[[#This Row],[урон]]+G29</f>
        <v>0.10999999999999999</v>
      </c>
      <c r="H30" s="279">
        <v>0</v>
      </c>
      <c r="I30" s="280">
        <f>Таблица_навык_оружие[[#This Row],[урон]]+I29</f>
        <v>0.10999999999999999</v>
      </c>
      <c r="J30" s="279">
        <v>0</v>
      </c>
      <c r="K30" s="280">
        <f>Таблица_навык_оружие[[#This Row],[урон]]+K29</f>
        <v>0.10999999999999999</v>
      </c>
      <c r="L30" s="279">
        <v>0</v>
      </c>
      <c r="M30" s="280">
        <f>Таблица_навык_оружие[[#This Row],[урон]]+M29</f>
        <v>0.10999999999999999</v>
      </c>
      <c r="N30" s="279">
        <v>0</v>
      </c>
      <c r="O30" s="280">
        <f>Таблица_навык_оружие[[#This Row],[урон]]+O29</f>
        <v>0.10999999999999999</v>
      </c>
      <c r="Q30" s="115">
        <v>27</v>
      </c>
      <c r="R30" s="116">
        <v>3264000</v>
      </c>
      <c r="S30" s="146">
        <f t="shared" si="0"/>
        <v>13847000</v>
      </c>
      <c r="T30" s="260">
        <v>0.01</v>
      </c>
      <c r="U30" s="261">
        <f t="shared" si="1"/>
        <v>0.25000000000000006</v>
      </c>
      <c r="V30" s="268"/>
      <c r="W30" s="308">
        <f t="shared" si="2"/>
        <v>13</v>
      </c>
      <c r="X30" s="268">
        <v>1</v>
      </c>
      <c r="Y30" s="308">
        <f t="shared" si="3"/>
        <v>25</v>
      </c>
      <c r="Z30" s="268">
        <v>1</v>
      </c>
      <c r="AA30" s="308">
        <f t="shared" si="4"/>
        <v>13</v>
      </c>
      <c r="AB30" s="268">
        <v>1</v>
      </c>
      <c r="AC30" s="308">
        <f t="shared" si="5"/>
        <v>13</v>
      </c>
      <c r="AE30" s="115">
        <v>4</v>
      </c>
      <c r="AF30" s="116">
        <v>3000</v>
      </c>
      <c r="AG30" s="146">
        <f>Таблица_навык_первая_помощь[[#This Row],[опыт ]]+AG29</f>
        <v>9000</v>
      </c>
      <c r="AH30" s="260">
        <v>0.05</v>
      </c>
      <c r="AI30" s="261">
        <f>Таблица_навык_первая_помощь[[#This Row],[эфф. Аптечек]]+AI29</f>
        <v>0.2</v>
      </c>
      <c r="AQ30" s="147">
        <v>9</v>
      </c>
      <c r="AR30" s="132">
        <v>30000</v>
      </c>
      <c r="AS30" s="318">
        <f>Таблица_навык_скаут[[#This Row],[опыт]]+AS29</f>
        <v>96000</v>
      </c>
      <c r="AT30" s="270">
        <v>0.05</v>
      </c>
      <c r="AU30" s="332">
        <f>Таблица_навык_скаут[[#This Row],[скорость по карте]]+AU29</f>
        <v>0.44999999999999996</v>
      </c>
      <c r="BA30" s="111" t="s">
        <v>148</v>
      </c>
      <c r="BB30" s="112" t="s">
        <v>153</v>
      </c>
      <c r="BC30" s="339" t="s">
        <v>495</v>
      </c>
      <c r="BD30" s="340" t="s">
        <v>540</v>
      </c>
      <c r="BE30" s="269" t="s">
        <v>496</v>
      </c>
      <c r="BF30" s="110"/>
      <c r="BG30" s="196">
        <v>1</v>
      </c>
      <c r="BH30" s="190">
        <v>1000</v>
      </c>
      <c r="BI30" s="192">
        <f>Таблица_навык_интендант[[#This Row],[опыт]]+BI29</f>
        <v>1000</v>
      </c>
      <c r="BJ30" s="190">
        <v>20</v>
      </c>
      <c r="BK30" s="236">
        <f>Таблица_навык_интендант[[#This Row],[объем хранилища2]]+BK29</f>
        <v>20</v>
      </c>
      <c r="BM30" s="6" t="s">
        <v>168</v>
      </c>
      <c r="BN30" s="154" t="s">
        <v>153</v>
      </c>
      <c r="BO30" s="154" t="s">
        <v>495</v>
      </c>
      <c r="BP30" s="201" t="s">
        <v>555</v>
      </c>
      <c r="BQ30" s="230" t="s">
        <v>496</v>
      </c>
      <c r="BR30" s="201" t="s">
        <v>556</v>
      </c>
      <c r="BS30" s="230" t="s">
        <v>499</v>
      </c>
      <c r="BT30" s="201" t="s">
        <v>557</v>
      </c>
      <c r="BU30" s="230" t="s">
        <v>534</v>
      </c>
      <c r="BV30" s="201" t="s">
        <v>0</v>
      </c>
      <c r="BW30" s="230" t="s">
        <v>551</v>
      </c>
      <c r="BX30" s="201" t="s">
        <v>1</v>
      </c>
      <c r="BY30" s="230" t="s">
        <v>552</v>
      </c>
    </row>
    <row r="31" spans="1:77" x14ac:dyDescent="0.25">
      <c r="A31" s="120">
        <v>28</v>
      </c>
      <c r="B31" s="100">
        <v>4247000</v>
      </c>
      <c r="C31" s="101">
        <f>Таблица_навык_оружие[[#This Row],[опыт]]+C30</f>
        <v>18094000</v>
      </c>
      <c r="D31" s="292">
        <v>0</v>
      </c>
      <c r="E31" s="293">
        <f t="shared" si="6"/>
        <v>5</v>
      </c>
      <c r="F31" s="106">
        <v>0.01</v>
      </c>
      <c r="G31" s="280">
        <f>Таблица_навык_оружие[[#This Row],[урон]]+G30</f>
        <v>0.11999999999999998</v>
      </c>
      <c r="H31" s="279">
        <v>0.01</v>
      </c>
      <c r="I31" s="280">
        <f>Таблица_навык_оружие[[#This Row],[урон]]+I30</f>
        <v>0.11999999999999998</v>
      </c>
      <c r="J31" s="279">
        <v>0.01</v>
      </c>
      <c r="K31" s="280">
        <f>Таблица_навык_оружие[[#This Row],[урон]]+K30</f>
        <v>0.11999999999999998</v>
      </c>
      <c r="L31" s="279">
        <v>0.01</v>
      </c>
      <c r="M31" s="280">
        <f>Таблица_навык_оружие[[#This Row],[урон]]+M30</f>
        <v>0.11999999999999998</v>
      </c>
      <c r="N31" s="279">
        <v>0.01</v>
      </c>
      <c r="O31" s="280">
        <f>Таблица_навык_оружие[[#This Row],[урон]]+O30</f>
        <v>0.11999999999999998</v>
      </c>
      <c r="Q31" s="115">
        <v>28</v>
      </c>
      <c r="R31" s="116">
        <v>4247000</v>
      </c>
      <c r="S31" s="146">
        <f t="shared" si="0"/>
        <v>18094000</v>
      </c>
      <c r="T31" s="260">
        <v>0.01</v>
      </c>
      <c r="U31" s="261">
        <f t="shared" si="1"/>
        <v>0.26000000000000006</v>
      </c>
      <c r="V31" s="268">
        <v>1</v>
      </c>
      <c r="W31" s="308">
        <f t="shared" si="2"/>
        <v>14</v>
      </c>
      <c r="X31" s="268">
        <v>1</v>
      </c>
      <c r="Y31" s="308">
        <f t="shared" si="3"/>
        <v>26</v>
      </c>
      <c r="Z31" s="268"/>
      <c r="AA31" s="308">
        <f t="shared" si="4"/>
        <v>13</v>
      </c>
      <c r="AB31" s="268"/>
      <c r="AC31" s="308">
        <f t="shared" si="5"/>
        <v>13</v>
      </c>
      <c r="AE31" s="115">
        <v>5</v>
      </c>
      <c r="AF31" s="116">
        <v>5000</v>
      </c>
      <c r="AG31" s="146">
        <f>Таблица_навык_первая_помощь[[#This Row],[опыт ]]+AG30</f>
        <v>14000</v>
      </c>
      <c r="AH31" s="260">
        <v>0.05</v>
      </c>
      <c r="AI31" s="261">
        <f>Таблица_навык_первая_помощь[[#This Row],[эфф. Аптечек]]+AI30</f>
        <v>0.25</v>
      </c>
      <c r="AQ31" s="117">
        <v>10</v>
      </c>
      <c r="AR31" s="132">
        <v>43000</v>
      </c>
      <c r="AS31" s="318">
        <f>Таблица_навык_скаут[[#This Row],[опыт]]+AS30</f>
        <v>139000</v>
      </c>
      <c r="AT31" s="270">
        <v>0.05</v>
      </c>
      <c r="AU31" s="332">
        <f>Таблица_навык_скаут[[#This Row],[скорость по карте]]+AU30</f>
        <v>0.49999999999999994</v>
      </c>
      <c r="BA31" s="147">
        <v>0</v>
      </c>
      <c r="BB31" s="116">
        <v>0</v>
      </c>
      <c r="BC31" s="146">
        <v>0</v>
      </c>
      <c r="BD31" s="335"/>
      <c r="BE31" s="322">
        <v>0</v>
      </c>
      <c r="BF31" s="130"/>
      <c r="BG31" s="195">
        <v>2</v>
      </c>
      <c r="BH31" s="190">
        <v>2000</v>
      </c>
      <c r="BI31" s="192">
        <f>Таблица_навык_интендант[[#This Row],[опыт]]+BI30</f>
        <v>3000</v>
      </c>
      <c r="BJ31" s="190">
        <v>20</v>
      </c>
      <c r="BK31" s="236">
        <f>Таблица_навык_интендант[[#This Row],[объем хранилища2]]+BK30</f>
        <v>40</v>
      </c>
      <c r="BM31" s="227">
        <v>0</v>
      </c>
      <c r="BN31" s="219">
        <v>0</v>
      </c>
      <c r="BO31" s="210">
        <v>0</v>
      </c>
      <c r="BP31" s="178"/>
      <c r="BQ31" s="244">
        <v>0</v>
      </c>
      <c r="BR31" s="217"/>
      <c r="BS31" s="244">
        <v>0</v>
      </c>
      <c r="BT31" s="217"/>
      <c r="BU31" s="244">
        <v>0</v>
      </c>
      <c r="BV31" s="217"/>
      <c r="BW31" s="244">
        <v>0</v>
      </c>
      <c r="BX31" s="251"/>
      <c r="BY31" s="252">
        <v>0</v>
      </c>
    </row>
    <row r="32" spans="1:77" ht="16.5" thickBot="1" x14ac:dyDescent="0.3">
      <c r="A32" s="120">
        <v>29</v>
      </c>
      <c r="B32" s="100">
        <v>5519000</v>
      </c>
      <c r="C32" s="101">
        <f>Таблица_навык_оружие[[#This Row],[опыт]]+C31</f>
        <v>23613000</v>
      </c>
      <c r="D32" s="292">
        <v>0</v>
      </c>
      <c r="E32" s="293">
        <f t="shared" si="6"/>
        <v>5</v>
      </c>
      <c r="F32" s="288">
        <v>0.01</v>
      </c>
      <c r="G32" s="282">
        <f>Таблица_навык_оружие[[#This Row],[урон]]+G31</f>
        <v>0.12999999999999998</v>
      </c>
      <c r="H32" s="279">
        <v>0.01</v>
      </c>
      <c r="I32" s="280">
        <f>Таблица_навык_оружие[[#This Row],[урон]]+I31</f>
        <v>0.12999999999999998</v>
      </c>
      <c r="J32" s="279">
        <v>0.01</v>
      </c>
      <c r="K32" s="280">
        <f>Таблица_навык_оружие[[#This Row],[урон]]+K31</f>
        <v>0.12999999999999998</v>
      </c>
      <c r="L32" s="279">
        <v>0.01</v>
      </c>
      <c r="M32" s="280">
        <f>Таблица_навык_оружие[[#This Row],[урон]]+M31</f>
        <v>0.12999999999999998</v>
      </c>
      <c r="N32" s="279">
        <v>0.01</v>
      </c>
      <c r="O32" s="280">
        <f>Таблица_навык_оружие[[#This Row],[урон]]+O31</f>
        <v>0.12999999999999998</v>
      </c>
      <c r="Q32" s="115">
        <v>29</v>
      </c>
      <c r="R32" s="116">
        <v>5519000</v>
      </c>
      <c r="S32" s="146">
        <f t="shared" si="0"/>
        <v>23613000</v>
      </c>
      <c r="T32" s="260">
        <v>0.01</v>
      </c>
      <c r="U32" s="261">
        <f t="shared" si="1"/>
        <v>0.27000000000000007</v>
      </c>
      <c r="V32" s="268"/>
      <c r="W32" s="308">
        <f t="shared" si="2"/>
        <v>14</v>
      </c>
      <c r="X32" s="268">
        <v>1</v>
      </c>
      <c r="Y32" s="308">
        <f t="shared" si="3"/>
        <v>27</v>
      </c>
      <c r="Z32" s="268">
        <v>1</v>
      </c>
      <c r="AA32" s="308">
        <f t="shared" si="4"/>
        <v>14</v>
      </c>
      <c r="AB32" s="268">
        <v>1</v>
      </c>
      <c r="AC32" s="308">
        <f t="shared" si="5"/>
        <v>14</v>
      </c>
      <c r="AE32" s="115">
        <v>6</v>
      </c>
      <c r="AF32" s="116">
        <v>7000</v>
      </c>
      <c r="AG32" s="146">
        <f>Таблица_навык_первая_помощь[[#This Row],[опыт ]]+AG31</f>
        <v>21000</v>
      </c>
      <c r="AH32" s="260">
        <v>0.06</v>
      </c>
      <c r="AI32" s="261">
        <f>Таблица_навык_первая_помощь[[#This Row],[эфф. Аптечек]]+AI31</f>
        <v>0.31</v>
      </c>
      <c r="AQ32" s="159">
        <v>11</v>
      </c>
      <c r="AR32" s="132">
        <v>59000</v>
      </c>
      <c r="AS32" s="318">
        <f>Таблица_навык_скаут[[#This Row],[опыт]]+AS31</f>
        <v>198000</v>
      </c>
      <c r="AT32" s="270">
        <v>0.05</v>
      </c>
      <c r="AU32" s="332">
        <f>Таблица_навык_скаут[[#This Row],[скорость по карте]]+AU31</f>
        <v>0.54999999999999993</v>
      </c>
      <c r="BA32" s="147">
        <v>1</v>
      </c>
      <c r="BB32" s="116">
        <v>1000</v>
      </c>
      <c r="BC32" s="146">
        <f>Таблица_тренинг_В[[#This Row],[опыт]]+BC31</f>
        <v>1000</v>
      </c>
      <c r="BD32" s="335">
        <v>0.08</v>
      </c>
      <c r="BE32" s="322">
        <f>Таблица_тренинг_В[[#This Row],[всприятие]]+BE31</f>
        <v>0.08</v>
      </c>
      <c r="BF32" s="130"/>
      <c r="BG32" s="196">
        <v>3</v>
      </c>
      <c r="BH32" s="190">
        <v>3000</v>
      </c>
      <c r="BI32" s="192">
        <f>Таблица_навык_интендант[[#This Row],[опыт]]+BI31</f>
        <v>6000</v>
      </c>
      <c r="BJ32" s="190">
        <v>20</v>
      </c>
      <c r="BK32" s="236">
        <f>Таблица_навык_интендант[[#This Row],[объем хранилища2]]+BK31</f>
        <v>60</v>
      </c>
      <c r="BM32" s="227">
        <v>1</v>
      </c>
      <c r="BN32" s="219">
        <v>1000</v>
      </c>
      <c r="BO32" s="255">
        <f>Таблица_навык_защитник[[#This Row],[опыт]]+BO31</f>
        <v>1000</v>
      </c>
      <c r="BP32" s="178">
        <v>2</v>
      </c>
      <c r="BQ32" s="244">
        <f>Таблица_навык_защитник[[#This Row],[сопр. Эфф]]+BQ31</f>
        <v>2</v>
      </c>
      <c r="BR32" s="217"/>
      <c r="BS32" s="244">
        <f>Таблица_навык_защитник[[#This Row],[крит. Защ]]+BS31</f>
        <v>0</v>
      </c>
      <c r="BT32" s="217"/>
      <c r="BU32" s="244">
        <f>Таблица_навык_защитник[[#This Row],[крит. Уклонение]]+BU31</f>
        <v>0</v>
      </c>
      <c r="BV32" s="217"/>
      <c r="BW32" s="244">
        <f>Таблица_навык_защитник[[#This Row],[маскировка]]+BW31</f>
        <v>0</v>
      </c>
      <c r="BX32" s="251"/>
      <c r="BY32" s="252">
        <f>Таблица_навык_защитник[[#This Row],[защита]]+BY31</f>
        <v>0</v>
      </c>
    </row>
    <row r="33" spans="1:77" ht="16.5" thickBot="1" x14ac:dyDescent="0.3">
      <c r="A33" s="121">
        <v>30</v>
      </c>
      <c r="B33" s="102">
        <v>7165000</v>
      </c>
      <c r="C33" s="286">
        <f>Таблица_навык_оружие[[#This Row],[опыт]]+C32</f>
        <v>30778000</v>
      </c>
      <c r="D33" s="294">
        <v>0</v>
      </c>
      <c r="E33" s="295">
        <f t="shared" si="6"/>
        <v>5</v>
      </c>
      <c r="F33" s="289">
        <v>0.02</v>
      </c>
      <c r="G33" s="283">
        <f>Таблица_навык_оружие[[#This Row],[урон]]+G32</f>
        <v>0.14999999999999997</v>
      </c>
      <c r="H33" s="281">
        <v>0.02</v>
      </c>
      <c r="I33" s="282">
        <f>Таблица_навык_оружие[[#This Row],[урон]]+I32</f>
        <v>0.14999999999999997</v>
      </c>
      <c r="J33" s="281">
        <v>0.02</v>
      </c>
      <c r="K33" s="282">
        <f>Таблица_навык_оружие[[#This Row],[урон]]+K32</f>
        <v>0.14999999999999997</v>
      </c>
      <c r="L33" s="281">
        <v>0.02</v>
      </c>
      <c r="M33" s="282">
        <f>Таблица_навык_оружие[[#This Row],[урон]]+M32</f>
        <v>0.14999999999999997</v>
      </c>
      <c r="N33" s="281">
        <v>0.02</v>
      </c>
      <c r="O33" s="282">
        <f>Таблица_навык_оружие[[#This Row],[урон]]+O32</f>
        <v>0.14999999999999997</v>
      </c>
      <c r="Q33" s="118">
        <v>30</v>
      </c>
      <c r="R33" s="119">
        <v>7165000</v>
      </c>
      <c r="S33" s="274">
        <f t="shared" si="0"/>
        <v>30778000</v>
      </c>
      <c r="T33" s="266">
        <v>0.01</v>
      </c>
      <c r="U33" s="264">
        <f t="shared" si="1"/>
        <v>0.28000000000000008</v>
      </c>
      <c r="V33" s="311">
        <v>1</v>
      </c>
      <c r="W33" s="310">
        <f t="shared" si="2"/>
        <v>15</v>
      </c>
      <c r="X33" s="311">
        <v>1</v>
      </c>
      <c r="Y33" s="310">
        <f t="shared" si="3"/>
        <v>28</v>
      </c>
      <c r="Z33" s="311"/>
      <c r="AA33" s="310">
        <f t="shared" si="4"/>
        <v>14</v>
      </c>
      <c r="AB33" s="311"/>
      <c r="AC33" s="310">
        <f t="shared" si="5"/>
        <v>14</v>
      </c>
      <c r="AE33" s="115">
        <v>7</v>
      </c>
      <c r="AF33" s="116">
        <v>9000</v>
      </c>
      <c r="AG33" s="146">
        <f>Таблица_навык_первая_помощь[[#This Row],[опыт ]]+AG32</f>
        <v>30000</v>
      </c>
      <c r="AH33" s="260">
        <v>0.06</v>
      </c>
      <c r="AI33" s="261">
        <f>Таблица_навык_первая_помощь[[#This Row],[эфф. Аптечек]]+AI32</f>
        <v>0.37</v>
      </c>
      <c r="AQ33" s="117">
        <v>12</v>
      </c>
      <c r="AR33" s="132">
        <v>84000</v>
      </c>
      <c r="AS33" s="318">
        <f>Таблица_навык_скаут[[#This Row],[опыт]]+AS32</f>
        <v>282000</v>
      </c>
      <c r="AT33" s="270">
        <v>0.05</v>
      </c>
      <c r="AU33" s="332">
        <f>Таблица_навык_скаут[[#This Row],[скорость по карте]]+AU32</f>
        <v>0.6</v>
      </c>
      <c r="BA33" s="147">
        <v>2</v>
      </c>
      <c r="BB33" s="116">
        <v>2000</v>
      </c>
      <c r="BC33" s="146">
        <f>Таблица_тренинг_В[[#This Row],[опыт]]+BC32</f>
        <v>3000</v>
      </c>
      <c r="BD33" s="335">
        <v>0.08</v>
      </c>
      <c r="BE33" s="322">
        <f>Таблица_тренинг_В[[#This Row],[всприятие]]+BE32</f>
        <v>0.16</v>
      </c>
      <c r="BF33" s="130"/>
      <c r="BG33" s="195">
        <v>4</v>
      </c>
      <c r="BH33" s="190">
        <v>5000</v>
      </c>
      <c r="BI33" s="192">
        <f>Таблица_навык_интендант[[#This Row],[опыт]]+BI32</f>
        <v>11000</v>
      </c>
      <c r="BJ33" s="190">
        <v>20</v>
      </c>
      <c r="BK33" s="236">
        <f>Таблица_навык_интендант[[#This Row],[объем хранилища2]]+BK32</f>
        <v>80</v>
      </c>
      <c r="BM33" s="227">
        <v>2</v>
      </c>
      <c r="BN33" s="219">
        <v>2000</v>
      </c>
      <c r="BO33" s="255">
        <f>Таблица_навык_защитник[[#This Row],[опыт]]+BO32</f>
        <v>3000</v>
      </c>
      <c r="BP33" s="178"/>
      <c r="BQ33" s="244">
        <f>Таблица_навык_защитник[[#This Row],[сопр. Эфф]]+BQ32</f>
        <v>2</v>
      </c>
      <c r="BR33" s="217">
        <v>3</v>
      </c>
      <c r="BS33" s="244">
        <f>Таблица_навык_защитник[[#This Row],[крит. Защ]]+BS32</f>
        <v>3</v>
      </c>
      <c r="BT33" s="217"/>
      <c r="BU33" s="244">
        <f>Таблица_навык_защитник[[#This Row],[крит. Уклонение]]+BU32</f>
        <v>0</v>
      </c>
      <c r="BV33" s="217"/>
      <c r="BW33" s="244">
        <f>Таблица_навык_защитник[[#This Row],[маскировка]]+BW32</f>
        <v>0</v>
      </c>
      <c r="BX33" s="251"/>
      <c r="BY33" s="252">
        <f>Таблица_навык_защитник[[#This Row],[защита]]+BY32</f>
        <v>0</v>
      </c>
    </row>
    <row r="34" spans="1:77" ht="16.5" thickBot="1" x14ac:dyDescent="0.3">
      <c r="AE34" s="115">
        <v>8</v>
      </c>
      <c r="AF34" s="116">
        <v>12000</v>
      </c>
      <c r="AG34" s="146">
        <f>Таблица_навык_первая_помощь[[#This Row],[опыт ]]+AG33</f>
        <v>42000</v>
      </c>
      <c r="AH34" s="260">
        <v>0.06</v>
      </c>
      <c r="AI34" s="261">
        <f>Таблица_навык_первая_помощь[[#This Row],[эфф. Аптечек]]+AI33</f>
        <v>0.43</v>
      </c>
      <c r="AQ34" s="159">
        <v>13</v>
      </c>
      <c r="AR34" s="132">
        <v>115000</v>
      </c>
      <c r="AS34" s="318">
        <f>Таблица_навык_скаут[[#This Row],[опыт]]+AS33</f>
        <v>397000</v>
      </c>
      <c r="AT34" s="270">
        <v>0.05</v>
      </c>
      <c r="AU34" s="332">
        <f>Таблица_навык_скаут[[#This Row],[скорость по карте]]+AU33</f>
        <v>0.65</v>
      </c>
      <c r="BA34" s="147">
        <v>3</v>
      </c>
      <c r="BB34" s="116">
        <v>4000</v>
      </c>
      <c r="BC34" s="146">
        <f>Таблица_тренинг_В[[#This Row],[опыт]]+BC33</f>
        <v>7000</v>
      </c>
      <c r="BD34" s="335">
        <v>0.08</v>
      </c>
      <c r="BE34" s="322">
        <f>Таблица_тренинг_В[[#This Row],[всприятие]]+BE33</f>
        <v>0.24</v>
      </c>
      <c r="BF34" s="130"/>
      <c r="BG34" s="196">
        <v>5</v>
      </c>
      <c r="BH34" s="190">
        <v>7000</v>
      </c>
      <c r="BI34" s="192">
        <f>Таблица_навык_интендант[[#This Row],[опыт]]+BI33</f>
        <v>18000</v>
      </c>
      <c r="BJ34" s="190">
        <v>20</v>
      </c>
      <c r="BK34" s="236">
        <f>Таблица_навык_интендант[[#This Row],[объем хранилища2]]+BK33</f>
        <v>100</v>
      </c>
      <c r="BM34" s="227">
        <v>3</v>
      </c>
      <c r="BN34" s="219">
        <v>4000</v>
      </c>
      <c r="BO34" s="255">
        <f>Таблица_навык_защитник[[#This Row],[опыт]]+BO33</f>
        <v>7000</v>
      </c>
      <c r="BP34" s="178"/>
      <c r="BQ34" s="244">
        <f>Таблица_навык_защитник[[#This Row],[сопр. Эфф]]+BQ33</f>
        <v>2</v>
      </c>
      <c r="BR34" s="217"/>
      <c r="BS34" s="244">
        <f>Таблица_навык_защитник[[#This Row],[крит. Защ]]+BS33</f>
        <v>3</v>
      </c>
      <c r="BT34" s="217">
        <v>2</v>
      </c>
      <c r="BU34" s="244">
        <f>Таблица_навык_защитник[[#This Row],[крит. Уклонение]]+BU33</f>
        <v>2</v>
      </c>
      <c r="BV34" s="217"/>
      <c r="BW34" s="244">
        <f>Таблица_навык_защитник[[#This Row],[маскировка]]+BW33</f>
        <v>0</v>
      </c>
      <c r="BX34" s="251"/>
      <c r="BY34" s="252">
        <f>Таблица_навык_защитник[[#This Row],[защита]]+BY33</f>
        <v>0</v>
      </c>
    </row>
    <row r="35" spans="1:77" x14ac:dyDescent="0.25">
      <c r="A35" s="111" t="s">
        <v>71</v>
      </c>
      <c r="B35" s="112" t="s">
        <v>153</v>
      </c>
      <c r="C35" s="105" t="s">
        <v>495</v>
      </c>
      <c r="D35" s="258" t="s">
        <v>560</v>
      </c>
      <c r="E35" s="105" t="s">
        <v>496</v>
      </c>
      <c r="G35" s="122" t="s">
        <v>102</v>
      </c>
      <c r="H35" s="112" t="s">
        <v>153</v>
      </c>
      <c r="I35" s="105" t="s">
        <v>495</v>
      </c>
      <c r="J35" s="258" t="s">
        <v>515</v>
      </c>
      <c r="K35" s="105" t="s">
        <v>496</v>
      </c>
      <c r="Q35" s="111" t="s">
        <v>1</v>
      </c>
      <c r="R35" s="112" t="s">
        <v>153</v>
      </c>
      <c r="S35" s="131" t="s">
        <v>495</v>
      </c>
      <c r="T35" s="258" t="s">
        <v>340</v>
      </c>
      <c r="U35" s="259" t="s">
        <v>496</v>
      </c>
      <c r="W35" s="152" t="s">
        <v>119</v>
      </c>
      <c r="X35" s="112" t="s">
        <v>153</v>
      </c>
      <c r="Y35" s="131" t="s">
        <v>495</v>
      </c>
      <c r="Z35" s="258" t="s">
        <v>372</v>
      </c>
      <c r="AA35" s="259" t="s">
        <v>496</v>
      </c>
      <c r="AE35" s="115">
        <v>9</v>
      </c>
      <c r="AF35" s="116">
        <v>16000</v>
      </c>
      <c r="AG35" s="146">
        <f>Таблица_навык_первая_помощь[[#This Row],[опыт ]]+AG34</f>
        <v>58000</v>
      </c>
      <c r="AH35" s="260">
        <v>0.06</v>
      </c>
      <c r="AI35" s="261">
        <f>Таблица_навык_первая_помощь[[#This Row],[эфф. Аптечек]]+AI34</f>
        <v>0.49</v>
      </c>
      <c r="AQ35" s="117">
        <v>14</v>
      </c>
      <c r="AR35" s="132">
        <v>159000</v>
      </c>
      <c r="AS35" s="318">
        <f>Таблица_навык_скаут[[#This Row],[опыт]]+AS34</f>
        <v>556000</v>
      </c>
      <c r="AT35" s="270">
        <v>0.05</v>
      </c>
      <c r="AU35" s="332">
        <f>Таблица_навык_скаут[[#This Row],[скорость по карте]]+AU34</f>
        <v>0.70000000000000007</v>
      </c>
      <c r="BA35" s="147">
        <v>4</v>
      </c>
      <c r="BB35" s="116">
        <v>5000</v>
      </c>
      <c r="BC35" s="146">
        <f>Таблица_тренинг_В[[#This Row],[опыт]]+BC34</f>
        <v>12000</v>
      </c>
      <c r="BD35" s="335">
        <v>0.08</v>
      </c>
      <c r="BE35" s="322">
        <f>Таблица_тренинг_В[[#This Row],[всприятие]]+BE34</f>
        <v>0.32</v>
      </c>
      <c r="BF35" s="130"/>
      <c r="BG35" s="195">
        <v>6</v>
      </c>
      <c r="BH35" s="190">
        <v>9000</v>
      </c>
      <c r="BI35" s="192">
        <f>Таблица_навык_интендант[[#This Row],[опыт]]+BI34</f>
        <v>27000</v>
      </c>
      <c r="BJ35" s="190">
        <v>20</v>
      </c>
      <c r="BK35" s="236">
        <f>Таблица_навык_интендант[[#This Row],[объем хранилища2]]+BK34</f>
        <v>120</v>
      </c>
      <c r="BM35" s="227">
        <v>4</v>
      </c>
      <c r="BN35" s="219">
        <v>5000</v>
      </c>
      <c r="BO35" s="255">
        <f>Таблица_навык_защитник[[#This Row],[опыт]]+BO34</f>
        <v>12000</v>
      </c>
      <c r="BP35" s="178"/>
      <c r="BQ35" s="244">
        <f>Таблица_навык_защитник[[#This Row],[сопр. Эфф]]+BQ34</f>
        <v>2</v>
      </c>
      <c r="BR35" s="217"/>
      <c r="BS35" s="244">
        <f>Таблица_навык_защитник[[#This Row],[крит. Защ]]+BS34</f>
        <v>3</v>
      </c>
      <c r="BT35" s="217"/>
      <c r="BU35" s="244">
        <f>Таблица_навык_защитник[[#This Row],[крит. Уклонение]]+BU34</f>
        <v>2</v>
      </c>
      <c r="BV35" s="217">
        <v>1</v>
      </c>
      <c r="BW35" s="244">
        <f>Таблица_навык_защитник[[#This Row],[маскировка]]+BW34</f>
        <v>1</v>
      </c>
      <c r="BX35" s="251"/>
      <c r="BY35" s="252">
        <f>Таблица_навык_защитник[[#This Row],[защита]]+BY34</f>
        <v>0</v>
      </c>
    </row>
    <row r="36" spans="1:77" ht="16.5" thickBot="1" x14ac:dyDescent="0.3">
      <c r="A36" s="115">
        <v>0</v>
      </c>
      <c r="B36" s="116">
        <v>0</v>
      </c>
      <c r="C36" s="128">
        <v>0</v>
      </c>
      <c r="D36" s="260">
        <v>0</v>
      </c>
      <c r="E36" s="261">
        <v>0</v>
      </c>
      <c r="G36" s="115">
        <v>0</v>
      </c>
      <c r="H36" s="116">
        <v>0</v>
      </c>
      <c r="I36" s="128">
        <v>0</v>
      </c>
      <c r="J36" s="260">
        <v>0</v>
      </c>
      <c r="K36" s="261">
        <v>0</v>
      </c>
      <c r="Q36" s="115">
        <v>0</v>
      </c>
      <c r="R36" s="116">
        <v>0</v>
      </c>
      <c r="S36" s="313">
        <v>0</v>
      </c>
      <c r="T36" s="260"/>
      <c r="U36" s="261">
        <v>0</v>
      </c>
      <c r="W36" s="150">
        <v>0</v>
      </c>
      <c r="X36" s="116">
        <v>0</v>
      </c>
      <c r="Y36" s="146">
        <v>0</v>
      </c>
      <c r="Z36" s="268"/>
      <c r="AA36" s="308">
        <v>0</v>
      </c>
      <c r="AE36" s="115">
        <v>10</v>
      </c>
      <c r="AF36" s="116">
        <v>21000</v>
      </c>
      <c r="AG36" s="146">
        <f>Таблица_навык_первая_помощь[[#This Row],[опыт ]]+AG35</f>
        <v>79000</v>
      </c>
      <c r="AH36" s="260">
        <v>0.06</v>
      </c>
      <c r="AI36" s="261">
        <f>Таблица_навык_первая_помощь[[#This Row],[эфф. Аптечек]]+AI35</f>
        <v>0.55000000000000004</v>
      </c>
      <c r="AQ36" s="148">
        <v>15</v>
      </c>
      <c r="AR36" s="133">
        <v>219000</v>
      </c>
      <c r="AS36" s="319">
        <f>Таблица_навык_скаут[[#This Row],[опыт]]+AS35</f>
        <v>775000</v>
      </c>
      <c r="AT36" s="272">
        <v>0.05</v>
      </c>
      <c r="AU36" s="333">
        <f>Таблица_навык_скаут[[#This Row],[скорость по карте]]+AU35</f>
        <v>0.75000000000000011</v>
      </c>
      <c r="BA36" s="147">
        <v>5</v>
      </c>
      <c r="BB36" s="116">
        <v>7000</v>
      </c>
      <c r="BC36" s="146">
        <f>Таблица_тренинг_В[[#This Row],[опыт]]+BC35</f>
        <v>19000</v>
      </c>
      <c r="BD36" s="335">
        <v>0.08</v>
      </c>
      <c r="BE36" s="322">
        <f>Таблица_тренинг_В[[#This Row],[всприятие]]+BE35</f>
        <v>0.4</v>
      </c>
      <c r="BF36" s="130"/>
      <c r="BG36" s="196">
        <v>7</v>
      </c>
      <c r="BH36" s="190">
        <v>14000</v>
      </c>
      <c r="BI36" s="192">
        <f>Таблица_навык_интендант[[#This Row],[опыт]]+BI35</f>
        <v>41000</v>
      </c>
      <c r="BJ36" s="190">
        <v>20</v>
      </c>
      <c r="BK36" s="236">
        <f>Таблица_навык_интендант[[#This Row],[объем хранилища2]]+BK35</f>
        <v>140</v>
      </c>
      <c r="BM36" s="227">
        <v>5</v>
      </c>
      <c r="BN36" s="219">
        <v>7000</v>
      </c>
      <c r="BO36" s="255">
        <f>Таблица_навык_защитник[[#This Row],[опыт]]+BO35</f>
        <v>19000</v>
      </c>
      <c r="BP36" s="178"/>
      <c r="BQ36" s="244">
        <f>Таблица_навык_защитник[[#This Row],[сопр. Эфф]]+BQ35</f>
        <v>2</v>
      </c>
      <c r="BR36" s="217"/>
      <c r="BS36" s="244">
        <f>Таблица_навык_защитник[[#This Row],[крит. Защ]]+BS35</f>
        <v>3</v>
      </c>
      <c r="BT36" s="217"/>
      <c r="BU36" s="244">
        <f>Таблица_навык_защитник[[#This Row],[крит. Уклонение]]+BU35</f>
        <v>2</v>
      </c>
      <c r="BV36" s="217"/>
      <c r="BW36" s="244">
        <f>Таблица_навык_защитник[[#This Row],[маскировка]]+BW35</f>
        <v>1</v>
      </c>
      <c r="BX36" s="251">
        <v>0.03</v>
      </c>
      <c r="BY36" s="252">
        <f>Таблица_навык_защитник[[#This Row],[защита]]+BY35</f>
        <v>0.03</v>
      </c>
    </row>
    <row r="37" spans="1:77" ht="16.5" thickBot="1" x14ac:dyDescent="0.3">
      <c r="A37" s="115">
        <v>1</v>
      </c>
      <c r="B37" s="116">
        <v>1000</v>
      </c>
      <c r="C37" s="128">
        <f>Таблица_навык_урон[[#This Row],[опыт]]+C36</f>
        <v>1000</v>
      </c>
      <c r="D37" s="262">
        <v>0.06</v>
      </c>
      <c r="E37" s="261">
        <f>Таблица_навык_урон[[#This Row],[урон2]]+E36</f>
        <v>0.06</v>
      </c>
      <c r="G37" s="115">
        <v>1</v>
      </c>
      <c r="H37" s="116">
        <v>1000</v>
      </c>
      <c r="I37" s="128">
        <f>Таблица_навык_крит._урон[[#This Row],[опыт]]+I36</f>
        <v>1000</v>
      </c>
      <c r="J37" s="260">
        <v>0.02</v>
      </c>
      <c r="K37" s="261">
        <f>Таблица_навык_крит._урон[[#This Row],[Крит. Урон2]]+K36</f>
        <v>0.02</v>
      </c>
      <c r="Q37" s="115">
        <v>1</v>
      </c>
      <c r="R37" s="116">
        <v>1000</v>
      </c>
      <c r="S37" s="313">
        <f>Таблица_навык_защита[[#This Row],[опыт]]+S36</f>
        <v>1000</v>
      </c>
      <c r="T37" s="260">
        <v>0.03</v>
      </c>
      <c r="U37" s="261">
        <f>Таблица_навык_защита[[#This Row],[защита2]]+U36</f>
        <v>0.03</v>
      </c>
      <c r="W37" s="150">
        <v>1</v>
      </c>
      <c r="X37" s="116">
        <v>1000</v>
      </c>
      <c r="Y37" s="146">
        <f>Таблица_навык_крит._защита[[#This Row],[опыт]]+Y36</f>
        <v>1000</v>
      </c>
      <c r="Z37" s="268">
        <v>8</v>
      </c>
      <c r="AA37" s="308">
        <f>Таблица_навык_крит._защита[[#This Row],[крит. Защита]]+AA36</f>
        <v>8</v>
      </c>
      <c r="AE37" s="115">
        <v>11</v>
      </c>
      <c r="AF37" s="116">
        <v>28000</v>
      </c>
      <c r="AG37" s="146">
        <f>Таблица_навык_первая_помощь[[#This Row],[опыт ]]+AG36</f>
        <v>107000</v>
      </c>
      <c r="AH37" s="260">
        <v>7.0000000000000007E-2</v>
      </c>
      <c r="AI37" s="261">
        <f>Таблица_навык_первая_помощь[[#This Row],[эфф. Аптечек]]+AI36</f>
        <v>0.62000000000000011</v>
      </c>
      <c r="AQ37" s="110"/>
      <c r="AR37" s="110"/>
      <c r="AS37" s="110"/>
      <c r="AT37" s="110"/>
      <c r="AU37" s="110"/>
      <c r="BA37" s="147">
        <v>6</v>
      </c>
      <c r="BB37" s="116">
        <v>11000</v>
      </c>
      <c r="BC37" s="146">
        <f>Таблица_тренинг_В[[#This Row],[опыт]]+BC36</f>
        <v>30000</v>
      </c>
      <c r="BD37" s="335">
        <v>0.08</v>
      </c>
      <c r="BE37" s="322">
        <f>Таблица_тренинг_В[[#This Row],[всприятие]]+BE36</f>
        <v>0.48000000000000004</v>
      </c>
      <c r="BF37" s="130"/>
      <c r="BG37" s="195">
        <v>8</v>
      </c>
      <c r="BH37" s="190">
        <v>19000</v>
      </c>
      <c r="BI37" s="192">
        <f>Таблица_навык_интендант[[#This Row],[опыт]]+BI36</f>
        <v>60000</v>
      </c>
      <c r="BJ37" s="190">
        <v>20</v>
      </c>
      <c r="BK37" s="236">
        <f>Таблица_навык_интендант[[#This Row],[объем хранилища2]]+BK36</f>
        <v>160</v>
      </c>
      <c r="BM37" s="227">
        <v>6</v>
      </c>
      <c r="BN37" s="219">
        <v>11000</v>
      </c>
      <c r="BO37" s="255">
        <f>Таблица_навык_защитник[[#This Row],[опыт]]+BO36</f>
        <v>30000</v>
      </c>
      <c r="BP37" s="178">
        <v>3</v>
      </c>
      <c r="BQ37" s="244">
        <f>Таблица_навык_защитник[[#This Row],[сопр. Эфф]]+BQ36</f>
        <v>5</v>
      </c>
      <c r="BR37" s="217"/>
      <c r="BS37" s="244">
        <f>Таблица_навык_защитник[[#This Row],[крит. Защ]]+BS36</f>
        <v>3</v>
      </c>
      <c r="BT37" s="217"/>
      <c r="BU37" s="244">
        <f>Таблица_навык_защитник[[#This Row],[крит. Уклонение]]+BU36</f>
        <v>2</v>
      </c>
      <c r="BV37" s="217"/>
      <c r="BW37" s="244">
        <f>Таблица_навык_защитник[[#This Row],[маскировка]]+BW36</f>
        <v>1</v>
      </c>
      <c r="BX37" s="251"/>
      <c r="BY37" s="252">
        <f>Таблица_навык_защитник[[#This Row],[защита]]+BY36</f>
        <v>0.03</v>
      </c>
    </row>
    <row r="38" spans="1:77" x14ac:dyDescent="0.25">
      <c r="A38" s="115">
        <v>2</v>
      </c>
      <c r="B38" s="116">
        <v>2000</v>
      </c>
      <c r="C38" s="128">
        <f>Таблица_навык_урон[[#This Row],[опыт]]+C37</f>
        <v>3000</v>
      </c>
      <c r="D38" s="262">
        <v>0.06</v>
      </c>
      <c r="E38" s="261">
        <f>Таблица_навык_урон[[#This Row],[урон2]]+E37</f>
        <v>0.12</v>
      </c>
      <c r="G38" s="115">
        <v>2</v>
      </c>
      <c r="H38" s="116">
        <v>14000</v>
      </c>
      <c r="I38" s="128">
        <f>Таблица_навык_крит._урон[[#This Row],[опыт]]+I37</f>
        <v>15000</v>
      </c>
      <c r="J38" s="260">
        <v>0.02</v>
      </c>
      <c r="K38" s="261">
        <f>Таблица_навык_крит._урон[[#This Row],[Крит. Урон2]]+K37</f>
        <v>0.04</v>
      </c>
      <c r="Q38" s="115">
        <v>2</v>
      </c>
      <c r="R38" s="116">
        <v>2000</v>
      </c>
      <c r="S38" s="313">
        <f>Таблица_навык_защита[[#This Row],[опыт]]+S37</f>
        <v>3000</v>
      </c>
      <c r="T38" s="260">
        <v>0.03</v>
      </c>
      <c r="U38" s="261">
        <f>Таблица_навык_защита[[#This Row],[защита2]]+U37</f>
        <v>0.06</v>
      </c>
      <c r="W38" s="150">
        <v>2</v>
      </c>
      <c r="X38" s="116">
        <v>14000</v>
      </c>
      <c r="Y38" s="146">
        <f>Таблица_навык_крит._защита[[#This Row],[опыт]]+Y37</f>
        <v>15000</v>
      </c>
      <c r="Z38" s="268">
        <v>8</v>
      </c>
      <c r="AA38" s="308">
        <f>Таблица_навык_крит._защита[[#This Row],[крит. Защита]]+AA37</f>
        <v>16</v>
      </c>
      <c r="AE38" s="115">
        <v>12</v>
      </c>
      <c r="AF38" s="116">
        <v>37000</v>
      </c>
      <c r="AG38" s="146">
        <f>Таблица_навык_первая_помощь[[#This Row],[опыт ]]+AG37</f>
        <v>144000</v>
      </c>
      <c r="AH38" s="260">
        <v>7.0000000000000007E-2</v>
      </c>
      <c r="AI38" s="261">
        <f>Таблица_навык_первая_помощь[[#This Row],[эфф. Аптечек]]+AI37</f>
        <v>0.69000000000000017</v>
      </c>
      <c r="AQ38" s="111" t="s">
        <v>141</v>
      </c>
      <c r="AR38" s="112" t="s">
        <v>153</v>
      </c>
      <c r="AS38" s="131" t="s">
        <v>495</v>
      </c>
      <c r="AT38" s="258" t="s">
        <v>533</v>
      </c>
      <c r="AU38" s="259" t="s">
        <v>496</v>
      </c>
      <c r="BA38" s="147">
        <v>7</v>
      </c>
      <c r="BB38" s="116">
        <v>16000</v>
      </c>
      <c r="BC38" s="146">
        <f>Таблица_тренинг_В[[#This Row],[опыт]]+BC37</f>
        <v>46000</v>
      </c>
      <c r="BD38" s="335">
        <v>0.08</v>
      </c>
      <c r="BE38" s="322">
        <f>Таблица_тренинг_В[[#This Row],[всприятие]]+BE37</f>
        <v>0.56000000000000005</v>
      </c>
      <c r="BF38" s="130"/>
      <c r="BG38" s="196">
        <v>9</v>
      </c>
      <c r="BH38" s="190">
        <v>27000</v>
      </c>
      <c r="BI38" s="192">
        <f>Таблица_навык_интендант[[#This Row],[опыт]]+BI37</f>
        <v>87000</v>
      </c>
      <c r="BJ38" s="190">
        <v>20</v>
      </c>
      <c r="BK38" s="236">
        <f>Таблица_навык_интендант[[#This Row],[объем хранилища2]]+BK37</f>
        <v>180</v>
      </c>
      <c r="BM38" s="227">
        <v>7</v>
      </c>
      <c r="BN38" s="219">
        <v>16000</v>
      </c>
      <c r="BO38" s="255">
        <f>Таблица_навык_защитник[[#This Row],[опыт]]+BO37</f>
        <v>46000</v>
      </c>
      <c r="BP38" s="178"/>
      <c r="BQ38" s="244">
        <f>Таблица_навык_защитник[[#This Row],[сопр. Эфф]]+BQ37</f>
        <v>5</v>
      </c>
      <c r="BR38" s="217">
        <v>4</v>
      </c>
      <c r="BS38" s="244">
        <f>Таблица_навык_защитник[[#This Row],[крит. Защ]]+BS37</f>
        <v>7</v>
      </c>
      <c r="BT38" s="217"/>
      <c r="BU38" s="244">
        <f>Таблица_навык_защитник[[#This Row],[крит. Уклонение]]+BU37</f>
        <v>2</v>
      </c>
      <c r="BV38" s="217"/>
      <c r="BW38" s="244">
        <f>Таблица_навык_защитник[[#This Row],[маскировка]]+BW37</f>
        <v>1</v>
      </c>
      <c r="BX38" s="251"/>
      <c r="BY38" s="252">
        <f>Таблица_навык_защитник[[#This Row],[защита]]+BY37</f>
        <v>0.03</v>
      </c>
    </row>
    <row r="39" spans="1:77" x14ac:dyDescent="0.25">
      <c r="A39" s="115">
        <v>3</v>
      </c>
      <c r="B39" s="116">
        <v>3000</v>
      </c>
      <c r="C39" s="128">
        <f>Таблица_навык_урон[[#This Row],[опыт]]+C38</f>
        <v>6000</v>
      </c>
      <c r="D39" s="262">
        <v>0.06</v>
      </c>
      <c r="E39" s="261">
        <f>Таблица_навык_урон[[#This Row],[урон2]]+E38</f>
        <v>0.18</v>
      </c>
      <c r="G39" s="115">
        <v>3</v>
      </c>
      <c r="H39" s="116">
        <v>20000</v>
      </c>
      <c r="I39" s="128">
        <f>Таблица_навык_крит._урон[[#This Row],[опыт]]+I38</f>
        <v>35000</v>
      </c>
      <c r="J39" s="260">
        <v>0.02</v>
      </c>
      <c r="K39" s="261">
        <f>Таблица_навык_крит._урон[[#This Row],[Крит. Урон2]]+K38</f>
        <v>0.06</v>
      </c>
      <c r="Q39" s="115">
        <v>3</v>
      </c>
      <c r="R39" s="116">
        <v>3000</v>
      </c>
      <c r="S39" s="313">
        <f>Таблица_навык_защита[[#This Row],[опыт]]+S38</f>
        <v>6000</v>
      </c>
      <c r="T39" s="260">
        <v>0.03</v>
      </c>
      <c r="U39" s="261">
        <f>Таблица_навык_защита[[#This Row],[защита2]]+U38</f>
        <v>0.09</v>
      </c>
      <c r="W39" s="150">
        <v>3</v>
      </c>
      <c r="X39" s="116">
        <v>20000</v>
      </c>
      <c r="Y39" s="146">
        <f>Таблица_навык_крит._защита[[#This Row],[опыт]]+Y38</f>
        <v>35000</v>
      </c>
      <c r="Z39" s="268">
        <v>8</v>
      </c>
      <c r="AA39" s="308">
        <f>Таблица_навык_крит._защита[[#This Row],[крит. Защита]]+AA38</f>
        <v>24</v>
      </c>
      <c r="AE39" s="115">
        <v>13</v>
      </c>
      <c r="AF39" s="116">
        <v>48000</v>
      </c>
      <c r="AG39" s="146">
        <f>Таблица_навык_первая_помощь[[#This Row],[опыт ]]+AG38</f>
        <v>192000</v>
      </c>
      <c r="AH39" s="260">
        <v>7.0000000000000007E-2</v>
      </c>
      <c r="AI39" s="261">
        <f>Таблица_навык_первая_помощь[[#This Row],[эфф. Аптечек]]+AI38</f>
        <v>0.76000000000000023</v>
      </c>
      <c r="AQ39" s="115">
        <v>0</v>
      </c>
      <c r="AR39" s="132">
        <v>0</v>
      </c>
      <c r="AS39" s="318">
        <v>0</v>
      </c>
      <c r="AT39" s="260">
        <v>0</v>
      </c>
      <c r="AU39" s="332">
        <v>0</v>
      </c>
      <c r="BA39" s="147">
        <v>8</v>
      </c>
      <c r="BB39" s="116">
        <v>23000</v>
      </c>
      <c r="BC39" s="146">
        <f>Таблица_тренинг_В[[#This Row],[опыт]]+BC38</f>
        <v>69000</v>
      </c>
      <c r="BD39" s="335">
        <v>0.08</v>
      </c>
      <c r="BE39" s="322">
        <f>Таблица_тренинг_В[[#This Row],[всприятие]]+BE38</f>
        <v>0.64</v>
      </c>
      <c r="BF39" s="130"/>
      <c r="BG39" s="197">
        <v>10</v>
      </c>
      <c r="BH39" s="190">
        <v>38000</v>
      </c>
      <c r="BI39" s="192">
        <f>Таблица_навык_интендант[[#This Row],[опыт]]+BI38</f>
        <v>125000</v>
      </c>
      <c r="BJ39" s="190">
        <v>20</v>
      </c>
      <c r="BK39" s="236">
        <f>Таблица_навык_интендант[[#This Row],[объем хранилища2]]+BK38</f>
        <v>200</v>
      </c>
      <c r="BM39" s="227">
        <v>8</v>
      </c>
      <c r="BN39" s="219">
        <v>23000</v>
      </c>
      <c r="BO39" s="255">
        <f>Таблица_навык_защитник[[#This Row],[опыт]]+BO38</f>
        <v>69000</v>
      </c>
      <c r="BP39" s="178"/>
      <c r="BQ39" s="244">
        <f>Таблица_навык_защитник[[#This Row],[сопр. Эфф]]+BQ38</f>
        <v>5</v>
      </c>
      <c r="BR39" s="217"/>
      <c r="BS39" s="244">
        <f>Таблица_навык_защитник[[#This Row],[крит. Защ]]+BS38</f>
        <v>7</v>
      </c>
      <c r="BT39" s="217">
        <v>3</v>
      </c>
      <c r="BU39" s="244">
        <f>Таблица_навык_защитник[[#This Row],[крит. Уклонение]]+BU38</f>
        <v>5</v>
      </c>
      <c r="BV39" s="217"/>
      <c r="BW39" s="244">
        <f>Таблица_навык_защитник[[#This Row],[маскировка]]+BW38</f>
        <v>1</v>
      </c>
      <c r="BX39" s="251"/>
      <c r="BY39" s="252">
        <f>Таблица_навык_защитник[[#This Row],[защита]]+BY38</f>
        <v>0.03</v>
      </c>
    </row>
    <row r="40" spans="1:77" x14ac:dyDescent="0.25">
      <c r="A40" s="115">
        <v>4</v>
      </c>
      <c r="B40" s="116">
        <v>4000</v>
      </c>
      <c r="C40" s="128">
        <f>Таблица_навык_урон[[#This Row],[опыт]]+C39</f>
        <v>10000</v>
      </c>
      <c r="D40" s="262">
        <v>0.06</v>
      </c>
      <c r="E40" s="261">
        <f>Таблица_навык_урон[[#This Row],[урон2]]+E39</f>
        <v>0.24</v>
      </c>
      <c r="G40" s="115">
        <v>4</v>
      </c>
      <c r="H40" s="116">
        <v>24000</v>
      </c>
      <c r="I40" s="128">
        <f>Таблица_навык_крит._урон[[#This Row],[опыт]]+I39</f>
        <v>59000</v>
      </c>
      <c r="J40" s="260">
        <v>0.02</v>
      </c>
      <c r="K40" s="261">
        <f>Таблица_навык_крит._урон[[#This Row],[Крит. Урон2]]+K39</f>
        <v>0.08</v>
      </c>
      <c r="Q40" s="115">
        <v>4</v>
      </c>
      <c r="R40" s="116">
        <v>5000</v>
      </c>
      <c r="S40" s="313">
        <f>Таблица_навык_защита[[#This Row],[опыт]]+S39</f>
        <v>11000</v>
      </c>
      <c r="T40" s="260">
        <v>0.03</v>
      </c>
      <c r="U40" s="261">
        <f>Таблица_навык_защита[[#This Row],[защита2]]+U39</f>
        <v>0.12</v>
      </c>
      <c r="W40" s="150">
        <v>4</v>
      </c>
      <c r="X40" s="116">
        <v>24000</v>
      </c>
      <c r="Y40" s="146">
        <f>Таблица_навык_крит._защита[[#This Row],[опыт]]+Y39</f>
        <v>59000</v>
      </c>
      <c r="Z40" s="268">
        <v>8</v>
      </c>
      <c r="AA40" s="308">
        <f>Таблица_навык_крит._защита[[#This Row],[крит. Защита]]+AA39</f>
        <v>32</v>
      </c>
      <c r="AE40" s="115">
        <v>14</v>
      </c>
      <c r="AF40" s="116">
        <v>62000</v>
      </c>
      <c r="AG40" s="146">
        <f>Таблица_навык_первая_помощь[[#This Row],[опыт ]]+AG39</f>
        <v>254000</v>
      </c>
      <c r="AH40" s="260">
        <v>7.0000000000000007E-2</v>
      </c>
      <c r="AI40" s="261">
        <f>Таблица_навык_первая_помощь[[#This Row],[эфф. Аптечек]]+AI39</f>
        <v>0.83000000000000029</v>
      </c>
      <c r="AQ40" s="147">
        <v>1</v>
      </c>
      <c r="AR40" s="132">
        <v>1000</v>
      </c>
      <c r="AS40" s="318">
        <f>Таблица_навык_потоковая_компрессия[[#This Row],[опыт]]+AS39</f>
        <v>1000</v>
      </c>
      <c r="AT40" s="270">
        <v>0.03</v>
      </c>
      <c r="AU40" s="332">
        <f>Таблица_навык_потоковая_компрессия[[#This Row],[время сканирования]]+AU39</f>
        <v>0.03</v>
      </c>
      <c r="BA40" s="147">
        <v>9</v>
      </c>
      <c r="BB40" s="116">
        <v>33000</v>
      </c>
      <c r="BC40" s="146">
        <f>Таблица_тренинг_В[[#This Row],[опыт]]+BC39</f>
        <v>102000</v>
      </c>
      <c r="BD40" s="335">
        <v>0.08</v>
      </c>
      <c r="BE40" s="322">
        <f>Таблица_тренинг_В[[#This Row],[всприятие]]+BE39</f>
        <v>0.72</v>
      </c>
      <c r="BF40" s="130"/>
      <c r="BG40" s="198">
        <v>11</v>
      </c>
      <c r="BH40" s="190">
        <v>52000</v>
      </c>
      <c r="BI40" s="192">
        <f>Таблица_навык_интендант[[#This Row],[опыт]]+BI39</f>
        <v>177000</v>
      </c>
      <c r="BJ40" s="190">
        <v>20</v>
      </c>
      <c r="BK40" s="236">
        <f>Таблица_навык_интендант[[#This Row],[объем хранилища2]]+BK39</f>
        <v>220</v>
      </c>
      <c r="BM40" s="227">
        <v>9</v>
      </c>
      <c r="BN40" s="219">
        <v>33000</v>
      </c>
      <c r="BO40" s="255">
        <f>Таблица_навык_защитник[[#This Row],[опыт]]+BO39</f>
        <v>102000</v>
      </c>
      <c r="BP40" s="178"/>
      <c r="BQ40" s="244">
        <f>Таблица_навык_защитник[[#This Row],[сопр. Эфф]]+BQ39</f>
        <v>5</v>
      </c>
      <c r="BR40" s="217"/>
      <c r="BS40" s="244">
        <f>Таблица_навык_защитник[[#This Row],[крит. Защ]]+BS39</f>
        <v>7</v>
      </c>
      <c r="BT40" s="217"/>
      <c r="BU40" s="244">
        <f>Таблица_навык_защитник[[#This Row],[крит. Уклонение]]+BU39</f>
        <v>5</v>
      </c>
      <c r="BV40" s="217">
        <v>2</v>
      </c>
      <c r="BW40" s="244">
        <f>Таблица_навык_защитник[[#This Row],[маскировка]]+BW39</f>
        <v>3</v>
      </c>
      <c r="BX40" s="251"/>
      <c r="BY40" s="252">
        <f>Таблица_навык_защитник[[#This Row],[защита]]+BY39</f>
        <v>0.03</v>
      </c>
    </row>
    <row r="41" spans="1:77" x14ac:dyDescent="0.25">
      <c r="A41" s="115">
        <v>5</v>
      </c>
      <c r="B41" s="116">
        <v>6000</v>
      </c>
      <c r="C41" s="128">
        <f>Таблица_навык_урон[[#This Row],[опыт]]+C40</f>
        <v>16000</v>
      </c>
      <c r="D41" s="262">
        <v>0.06</v>
      </c>
      <c r="E41" s="261">
        <f>Таблица_навык_урон[[#This Row],[урон2]]+E40</f>
        <v>0.3</v>
      </c>
      <c r="G41" s="115">
        <v>5</v>
      </c>
      <c r="H41" s="116">
        <v>31000</v>
      </c>
      <c r="I41" s="128">
        <f>Таблица_навык_крит._урон[[#This Row],[опыт]]+I40</f>
        <v>90000</v>
      </c>
      <c r="J41" s="260">
        <v>0.02</v>
      </c>
      <c r="K41" s="261">
        <f>Таблица_навык_крит._урон[[#This Row],[Крит. Урон2]]+K40</f>
        <v>0.1</v>
      </c>
      <c r="Q41" s="115">
        <v>5</v>
      </c>
      <c r="R41" s="116">
        <v>6000</v>
      </c>
      <c r="S41" s="313">
        <f>Таблица_навык_защита[[#This Row],[опыт]]+S40</f>
        <v>17000</v>
      </c>
      <c r="T41" s="260">
        <v>0.04</v>
      </c>
      <c r="U41" s="261">
        <f>Таблица_навык_защита[[#This Row],[защита2]]+U40</f>
        <v>0.16</v>
      </c>
      <c r="W41" s="150">
        <v>5</v>
      </c>
      <c r="X41" s="116">
        <v>31000</v>
      </c>
      <c r="Y41" s="146">
        <f>Таблица_навык_крит._защита[[#This Row],[опыт]]+Y40</f>
        <v>90000</v>
      </c>
      <c r="Z41" s="268">
        <v>8</v>
      </c>
      <c r="AA41" s="308">
        <f>Таблица_навык_крит._защита[[#This Row],[крит. Защита]]+AA40</f>
        <v>40</v>
      </c>
      <c r="AE41" s="115">
        <v>15</v>
      </c>
      <c r="AF41" s="116">
        <v>81000</v>
      </c>
      <c r="AG41" s="146">
        <f>Таблица_навык_первая_помощь[[#This Row],[опыт ]]+AG40</f>
        <v>335000</v>
      </c>
      <c r="AH41" s="260">
        <v>7.0000000000000007E-2</v>
      </c>
      <c r="AI41" s="261">
        <f>Таблица_навык_первая_помощь[[#This Row],[эфф. Аптечек]]+AI40</f>
        <v>0.90000000000000036</v>
      </c>
      <c r="AQ41" s="115">
        <v>2</v>
      </c>
      <c r="AR41" s="132">
        <v>2000</v>
      </c>
      <c r="AS41" s="318">
        <f>Таблица_навык_потоковая_компрессия[[#This Row],[опыт]]+AS40</f>
        <v>3000</v>
      </c>
      <c r="AT41" s="270">
        <v>0.03</v>
      </c>
      <c r="AU41" s="332">
        <f>Таблица_навык_потоковая_компрессия[[#This Row],[время сканирования]]+AU40</f>
        <v>0.06</v>
      </c>
      <c r="BA41" s="147">
        <v>10</v>
      </c>
      <c r="BB41" s="116">
        <v>47000</v>
      </c>
      <c r="BC41" s="146">
        <f>Таблица_тренинг_В[[#This Row],[опыт]]+BC40</f>
        <v>149000</v>
      </c>
      <c r="BD41" s="335">
        <v>0.08</v>
      </c>
      <c r="BE41" s="322">
        <f>Таблица_тренинг_В[[#This Row],[всприятие]]+BE40</f>
        <v>0.79999999999999993</v>
      </c>
      <c r="BF41" s="130"/>
      <c r="BG41" s="197">
        <v>12</v>
      </c>
      <c r="BH41" s="190">
        <v>71000</v>
      </c>
      <c r="BI41" s="192">
        <f>Таблица_навык_интендант[[#This Row],[опыт]]+BI40</f>
        <v>248000</v>
      </c>
      <c r="BJ41" s="190">
        <v>20</v>
      </c>
      <c r="BK41" s="236">
        <f>Таблица_навык_интендант[[#This Row],[объем хранилища2]]+BK40</f>
        <v>240</v>
      </c>
      <c r="BM41" s="227">
        <v>10</v>
      </c>
      <c r="BN41" s="219">
        <v>47000</v>
      </c>
      <c r="BO41" s="255">
        <f>Таблица_навык_защитник[[#This Row],[опыт]]+BO40</f>
        <v>149000</v>
      </c>
      <c r="BP41" s="178"/>
      <c r="BQ41" s="244">
        <f>Таблица_навык_защитник[[#This Row],[сопр. Эфф]]+BQ40</f>
        <v>5</v>
      </c>
      <c r="BR41" s="217"/>
      <c r="BS41" s="244">
        <f>Таблица_навык_защитник[[#This Row],[крит. Защ]]+BS40</f>
        <v>7</v>
      </c>
      <c r="BT41" s="217"/>
      <c r="BU41" s="244">
        <f>Таблица_навык_защитник[[#This Row],[крит. Уклонение]]+BU40</f>
        <v>5</v>
      </c>
      <c r="BV41" s="217"/>
      <c r="BW41" s="244">
        <f>Таблица_навык_защитник[[#This Row],[маскировка]]+BW40</f>
        <v>3</v>
      </c>
      <c r="BX41" s="251">
        <v>0.04</v>
      </c>
      <c r="BY41" s="252">
        <f>Таблица_навык_защитник[[#This Row],[защита]]+BY40</f>
        <v>7.0000000000000007E-2</v>
      </c>
    </row>
    <row r="42" spans="1:77" x14ac:dyDescent="0.25">
      <c r="A42" s="115">
        <v>6</v>
      </c>
      <c r="B42" s="116">
        <v>8000</v>
      </c>
      <c r="C42" s="128">
        <f>Таблица_навык_урон[[#This Row],[опыт]]+C41</f>
        <v>24000</v>
      </c>
      <c r="D42" s="262">
        <v>0.04</v>
      </c>
      <c r="E42" s="261">
        <f>Таблица_навык_урон[[#This Row],[урон2]]+E41</f>
        <v>0.33999999999999997</v>
      </c>
      <c r="G42" s="115">
        <v>6</v>
      </c>
      <c r="H42" s="116">
        <v>38000</v>
      </c>
      <c r="I42" s="128">
        <f>Таблица_навык_крит._урон[[#This Row],[опыт]]+I41</f>
        <v>128000</v>
      </c>
      <c r="J42" s="260">
        <v>0.02</v>
      </c>
      <c r="K42" s="261">
        <f>Таблица_навык_крит._урон[[#This Row],[Крит. Урон2]]+K41</f>
        <v>0.12000000000000001</v>
      </c>
      <c r="Q42" s="115">
        <v>6</v>
      </c>
      <c r="R42" s="116">
        <v>9000</v>
      </c>
      <c r="S42" s="313">
        <f>Таблица_навык_защита[[#This Row],[опыт]]+S41</f>
        <v>26000</v>
      </c>
      <c r="T42" s="260">
        <v>0.04</v>
      </c>
      <c r="U42" s="261">
        <f>Таблица_навык_защита[[#This Row],[защита2]]+U41</f>
        <v>0.2</v>
      </c>
      <c r="W42" s="150">
        <v>6</v>
      </c>
      <c r="X42" s="116">
        <v>38000</v>
      </c>
      <c r="Y42" s="146">
        <f>Таблица_навык_крит._защита[[#This Row],[опыт]]+Y41</f>
        <v>128000</v>
      </c>
      <c r="Z42" s="268">
        <v>8</v>
      </c>
      <c r="AA42" s="308">
        <f>Таблица_навык_крит._защита[[#This Row],[крит. Защита]]+AA41</f>
        <v>48</v>
      </c>
      <c r="AE42" s="115">
        <v>16</v>
      </c>
      <c r="AF42" s="116">
        <v>104000</v>
      </c>
      <c r="AG42" s="146">
        <f>Таблица_навык_первая_помощь[[#This Row],[опыт ]]+AG41</f>
        <v>439000</v>
      </c>
      <c r="AH42" s="260">
        <v>0.08</v>
      </c>
      <c r="AI42" s="261">
        <f>Таблица_навык_первая_помощь[[#This Row],[эфф. Аптечек]]+AI41</f>
        <v>0.98000000000000032</v>
      </c>
      <c r="AQ42" s="147">
        <v>3</v>
      </c>
      <c r="AR42" s="132">
        <v>3000</v>
      </c>
      <c r="AS42" s="318">
        <f>Таблица_навык_потоковая_компрессия[[#This Row],[опыт]]+AS41</f>
        <v>6000</v>
      </c>
      <c r="AT42" s="270">
        <v>0.04</v>
      </c>
      <c r="AU42" s="332">
        <f>Таблица_навык_потоковая_компрессия[[#This Row],[время сканирования]]+AU41</f>
        <v>0.1</v>
      </c>
      <c r="BA42" s="147">
        <v>11</v>
      </c>
      <c r="BB42" s="116">
        <v>65000</v>
      </c>
      <c r="BC42" s="146">
        <f>Таблица_тренинг_В[[#This Row],[опыт]]+BC41</f>
        <v>214000</v>
      </c>
      <c r="BD42" s="335">
        <v>0.08</v>
      </c>
      <c r="BE42" s="322">
        <f>Таблица_тренинг_В[[#This Row],[всприятие]]+BE41</f>
        <v>0.87999999999999989</v>
      </c>
      <c r="BF42" s="130"/>
      <c r="BG42" s="198">
        <v>13</v>
      </c>
      <c r="BH42" s="190">
        <v>98000</v>
      </c>
      <c r="BI42" s="192">
        <f>Таблица_навык_интендант[[#This Row],[опыт]]+BI41</f>
        <v>346000</v>
      </c>
      <c r="BJ42" s="190">
        <v>20</v>
      </c>
      <c r="BK42" s="236">
        <f>Таблица_навык_интендант[[#This Row],[объем хранилища2]]+BK41</f>
        <v>260</v>
      </c>
      <c r="BM42" s="227">
        <v>11</v>
      </c>
      <c r="BN42" s="219">
        <v>65000</v>
      </c>
      <c r="BO42" s="255">
        <f>Таблица_навык_защитник[[#This Row],[опыт]]+BO41</f>
        <v>214000</v>
      </c>
      <c r="BP42" s="178">
        <v>4</v>
      </c>
      <c r="BQ42" s="244">
        <f>Таблица_навык_защитник[[#This Row],[сопр. Эфф]]+BQ41</f>
        <v>9</v>
      </c>
      <c r="BR42" s="217"/>
      <c r="BS42" s="244">
        <f>Таблица_навык_защитник[[#This Row],[крит. Защ]]+BS41</f>
        <v>7</v>
      </c>
      <c r="BT42" s="217"/>
      <c r="BU42" s="244">
        <f>Таблица_навык_защитник[[#This Row],[крит. Уклонение]]+BU41</f>
        <v>5</v>
      </c>
      <c r="BV42" s="217"/>
      <c r="BW42" s="244">
        <f>Таблица_навык_защитник[[#This Row],[маскировка]]+BW41</f>
        <v>3</v>
      </c>
      <c r="BX42" s="251"/>
      <c r="BY42" s="252">
        <f>Таблица_навык_защитник[[#This Row],[защита]]+BY41</f>
        <v>7.0000000000000007E-2</v>
      </c>
    </row>
    <row r="43" spans="1:77" x14ac:dyDescent="0.25">
      <c r="A43" s="115">
        <v>7</v>
      </c>
      <c r="B43" s="116">
        <v>11000</v>
      </c>
      <c r="C43" s="128">
        <f>Таблица_навык_урон[[#This Row],[опыт]]+C42</f>
        <v>35000</v>
      </c>
      <c r="D43" s="262">
        <v>0.04</v>
      </c>
      <c r="E43" s="261">
        <f>Таблица_навык_урон[[#This Row],[урон2]]+E42</f>
        <v>0.37999999999999995</v>
      </c>
      <c r="G43" s="115">
        <v>7</v>
      </c>
      <c r="H43" s="116">
        <v>47000</v>
      </c>
      <c r="I43" s="128">
        <f>Таблица_навык_крит._урон[[#This Row],[опыт]]+I42</f>
        <v>175000</v>
      </c>
      <c r="J43" s="260">
        <v>0.02</v>
      </c>
      <c r="K43" s="261">
        <f>Таблица_навык_крит._урон[[#This Row],[Крит. Урон2]]+K42</f>
        <v>0.14000000000000001</v>
      </c>
      <c r="Q43" s="115">
        <v>7</v>
      </c>
      <c r="R43" s="116">
        <v>13000</v>
      </c>
      <c r="S43" s="313">
        <f>Таблица_навык_защита[[#This Row],[опыт]]+S42</f>
        <v>39000</v>
      </c>
      <c r="T43" s="260">
        <v>0.04</v>
      </c>
      <c r="U43" s="261">
        <f>Таблица_навык_защита[[#This Row],[защита2]]+U42</f>
        <v>0.24000000000000002</v>
      </c>
      <c r="W43" s="150">
        <v>7</v>
      </c>
      <c r="X43" s="116">
        <v>47000</v>
      </c>
      <c r="Y43" s="146">
        <f>Таблица_навык_крит._защита[[#This Row],[опыт]]+Y42</f>
        <v>175000</v>
      </c>
      <c r="Z43" s="268">
        <v>8</v>
      </c>
      <c r="AA43" s="308">
        <f>Таблица_навык_крит._защита[[#This Row],[крит. Защита]]+AA42</f>
        <v>56</v>
      </c>
      <c r="AE43" s="115">
        <v>17</v>
      </c>
      <c r="AF43" s="116">
        <v>135000</v>
      </c>
      <c r="AG43" s="146">
        <f>Таблица_навык_первая_помощь[[#This Row],[опыт ]]+AG42</f>
        <v>574000</v>
      </c>
      <c r="AH43" s="260">
        <v>0.08</v>
      </c>
      <c r="AI43" s="261">
        <f>Таблица_навык_первая_помощь[[#This Row],[эфф. Аптечек]]+AI42</f>
        <v>1.0600000000000003</v>
      </c>
      <c r="AQ43" s="115">
        <v>4</v>
      </c>
      <c r="AR43" s="132">
        <v>3000</v>
      </c>
      <c r="AS43" s="318">
        <f>Таблица_навык_потоковая_компрессия[[#This Row],[опыт]]+AS42</f>
        <v>9000</v>
      </c>
      <c r="AT43" s="270">
        <v>0.04</v>
      </c>
      <c r="AU43" s="332">
        <f>Таблица_навык_потоковая_компрессия[[#This Row],[время сканирования]]+AU42</f>
        <v>0.14000000000000001</v>
      </c>
      <c r="BA43" s="147">
        <v>12</v>
      </c>
      <c r="BB43" s="116">
        <v>93000</v>
      </c>
      <c r="BC43" s="146">
        <f>Таблица_тренинг_В[[#This Row],[опыт]]+BC42</f>
        <v>307000</v>
      </c>
      <c r="BD43" s="335">
        <v>0.08</v>
      </c>
      <c r="BE43" s="322">
        <f>Таблица_тренинг_В[[#This Row],[всприятие]]+BE42</f>
        <v>0.95999999999999985</v>
      </c>
      <c r="BF43" s="130"/>
      <c r="BG43" s="197">
        <v>14</v>
      </c>
      <c r="BH43" s="190">
        <v>133000</v>
      </c>
      <c r="BI43" s="192">
        <f>Таблица_навык_интендант[[#This Row],[опыт]]+BI42</f>
        <v>479000</v>
      </c>
      <c r="BJ43" s="190">
        <v>20</v>
      </c>
      <c r="BK43" s="236">
        <f>Таблица_навык_интендант[[#This Row],[объем хранилища2]]+BK42</f>
        <v>280</v>
      </c>
      <c r="BM43" s="227">
        <v>12</v>
      </c>
      <c r="BN43" s="219">
        <v>93000</v>
      </c>
      <c r="BO43" s="255">
        <f>Таблица_навык_защитник[[#This Row],[опыт]]+BO42</f>
        <v>307000</v>
      </c>
      <c r="BP43" s="178"/>
      <c r="BQ43" s="244">
        <f>Таблица_навык_защитник[[#This Row],[сопр. Эфф]]+BQ42</f>
        <v>9</v>
      </c>
      <c r="BR43" s="217">
        <v>5</v>
      </c>
      <c r="BS43" s="244">
        <f>Таблица_навык_защитник[[#This Row],[крит. Защ]]+BS42</f>
        <v>12</v>
      </c>
      <c r="BT43" s="217"/>
      <c r="BU43" s="244">
        <f>Таблица_навык_защитник[[#This Row],[крит. Уклонение]]+BU42</f>
        <v>5</v>
      </c>
      <c r="BV43" s="217"/>
      <c r="BW43" s="244">
        <f>Таблица_навык_защитник[[#This Row],[маскировка]]+BW42</f>
        <v>3</v>
      </c>
      <c r="BX43" s="251"/>
      <c r="BY43" s="252">
        <f>Таблица_навык_защитник[[#This Row],[защита]]+BY42</f>
        <v>7.0000000000000007E-2</v>
      </c>
    </row>
    <row r="44" spans="1:77" ht="16.5" thickBot="1" x14ac:dyDescent="0.3">
      <c r="A44" s="115">
        <v>8</v>
      </c>
      <c r="B44" s="116">
        <v>16000</v>
      </c>
      <c r="C44" s="128">
        <f>Таблица_навык_урон[[#This Row],[опыт]]+C43</f>
        <v>51000</v>
      </c>
      <c r="D44" s="262">
        <v>0.04</v>
      </c>
      <c r="E44" s="261">
        <f>Таблица_навык_урон[[#This Row],[урон2]]+E43</f>
        <v>0.41999999999999993</v>
      </c>
      <c r="G44" s="115">
        <v>8</v>
      </c>
      <c r="H44" s="116">
        <v>59000</v>
      </c>
      <c r="I44" s="128">
        <f>Таблица_навык_крит._урон[[#This Row],[опыт]]+I43</f>
        <v>234000</v>
      </c>
      <c r="J44" s="260">
        <v>0.02</v>
      </c>
      <c r="K44" s="261">
        <f>Таблица_навык_крит._урон[[#This Row],[Крит. Урон2]]+K43</f>
        <v>0.16</v>
      </c>
      <c r="Q44" s="115">
        <v>8</v>
      </c>
      <c r="R44" s="116">
        <v>19000</v>
      </c>
      <c r="S44" s="313">
        <f>Таблица_навык_защита[[#This Row],[опыт]]+S43</f>
        <v>58000</v>
      </c>
      <c r="T44" s="260">
        <v>0.05</v>
      </c>
      <c r="U44" s="261">
        <f>Таблица_навык_защита[[#This Row],[защита2]]+U43</f>
        <v>0.29000000000000004</v>
      </c>
      <c r="W44" s="150">
        <v>8</v>
      </c>
      <c r="X44" s="116">
        <v>59000</v>
      </c>
      <c r="Y44" s="146">
        <f>Таблица_навык_крит._защита[[#This Row],[опыт]]+Y43</f>
        <v>234000</v>
      </c>
      <c r="Z44" s="268">
        <v>8</v>
      </c>
      <c r="AA44" s="308">
        <f>Таблица_навык_крит._защита[[#This Row],[крит. Защита]]+AA43</f>
        <v>64</v>
      </c>
      <c r="AE44" s="115">
        <v>18</v>
      </c>
      <c r="AF44" s="116">
        <v>173000</v>
      </c>
      <c r="AG44" s="146">
        <f>Таблица_навык_первая_помощь[[#This Row],[опыт ]]+AG43</f>
        <v>747000</v>
      </c>
      <c r="AH44" s="260">
        <v>0.08</v>
      </c>
      <c r="AI44" s="261">
        <f>Таблица_навык_первая_помощь[[#This Row],[эфф. Аптечек]]+AI43</f>
        <v>1.1400000000000003</v>
      </c>
      <c r="AQ44" s="147">
        <v>5</v>
      </c>
      <c r="AR44" s="132">
        <v>5000</v>
      </c>
      <c r="AS44" s="318">
        <f>Таблица_навык_потоковая_компрессия[[#This Row],[опыт]]+AS43</f>
        <v>14000</v>
      </c>
      <c r="AT44" s="270">
        <v>0.04</v>
      </c>
      <c r="AU44" s="332">
        <f>Таблица_навык_потоковая_компрессия[[#This Row],[время сканирования]]+AU43</f>
        <v>0.18000000000000002</v>
      </c>
      <c r="BA44" s="147">
        <v>13</v>
      </c>
      <c r="BB44" s="116">
        <v>128000</v>
      </c>
      <c r="BC44" s="146">
        <f>Таблица_тренинг_В[[#This Row],[опыт]]+BC43</f>
        <v>435000</v>
      </c>
      <c r="BD44" s="335">
        <v>0.08</v>
      </c>
      <c r="BE44" s="322">
        <f>Таблица_тренинг_В[[#This Row],[всприятие]]+BE43</f>
        <v>1.0399999999999998</v>
      </c>
      <c r="BF44" s="130"/>
      <c r="BG44" s="199">
        <v>15</v>
      </c>
      <c r="BH44" s="191">
        <v>181000</v>
      </c>
      <c r="BI44" s="193">
        <f>Таблица_навык_интендант[[#This Row],[опыт]]+BI43</f>
        <v>660000</v>
      </c>
      <c r="BJ44" s="191">
        <v>20</v>
      </c>
      <c r="BK44" s="237">
        <f>Таблица_навык_интендант[[#This Row],[объем хранилища2]]+BK43</f>
        <v>300</v>
      </c>
      <c r="BM44" s="227">
        <v>13</v>
      </c>
      <c r="BN44" s="219">
        <v>128000</v>
      </c>
      <c r="BO44" s="255">
        <f>Таблица_навык_защитник[[#This Row],[опыт]]+BO43</f>
        <v>435000</v>
      </c>
      <c r="BP44" s="178"/>
      <c r="BQ44" s="244">
        <f>Таблица_навык_защитник[[#This Row],[сопр. Эфф]]+BQ43</f>
        <v>9</v>
      </c>
      <c r="BR44" s="217"/>
      <c r="BS44" s="244">
        <f>Таблица_навык_защитник[[#This Row],[крит. Защ]]+BS43</f>
        <v>12</v>
      </c>
      <c r="BT44" s="217">
        <v>4</v>
      </c>
      <c r="BU44" s="244">
        <f>Таблица_навык_защитник[[#This Row],[крит. Уклонение]]+BU43</f>
        <v>9</v>
      </c>
      <c r="BV44" s="217"/>
      <c r="BW44" s="244">
        <f>Таблица_навык_защитник[[#This Row],[маскировка]]+BW43</f>
        <v>3</v>
      </c>
      <c r="BX44" s="251"/>
      <c r="BY44" s="252">
        <f>Таблица_навык_защитник[[#This Row],[защита]]+BY43</f>
        <v>7.0000000000000007E-2</v>
      </c>
    </row>
    <row r="45" spans="1:77" ht="16.5" thickBot="1" x14ac:dyDescent="0.3">
      <c r="A45" s="115">
        <v>9</v>
      </c>
      <c r="B45" s="116">
        <v>21000</v>
      </c>
      <c r="C45" s="128">
        <f>Таблица_навык_урон[[#This Row],[опыт]]+C44</f>
        <v>72000</v>
      </c>
      <c r="D45" s="262">
        <v>0.04</v>
      </c>
      <c r="E45" s="261">
        <f>Таблица_навык_урон[[#This Row],[урон2]]+E44</f>
        <v>0.45999999999999991</v>
      </c>
      <c r="G45" s="115">
        <v>9</v>
      </c>
      <c r="H45" s="116">
        <v>72000</v>
      </c>
      <c r="I45" s="128">
        <f>Таблица_навык_крит._урон[[#This Row],[опыт]]+I44</f>
        <v>306000</v>
      </c>
      <c r="J45" s="260">
        <v>0.02</v>
      </c>
      <c r="K45" s="261">
        <f>Таблица_навык_крит._урон[[#This Row],[Крит. Урон2]]+K44</f>
        <v>0.18</v>
      </c>
      <c r="Q45" s="115">
        <v>9</v>
      </c>
      <c r="R45" s="116">
        <v>25000</v>
      </c>
      <c r="S45" s="313">
        <f>Таблица_навык_защита[[#This Row],[опыт]]+S44</f>
        <v>83000</v>
      </c>
      <c r="T45" s="260">
        <v>0.05</v>
      </c>
      <c r="U45" s="261">
        <f>Таблица_навык_защита[[#This Row],[защита2]]+U44</f>
        <v>0.34</v>
      </c>
      <c r="W45" s="150">
        <v>9</v>
      </c>
      <c r="X45" s="116">
        <v>72000</v>
      </c>
      <c r="Y45" s="146">
        <f>Таблица_навык_крит._защита[[#This Row],[опыт]]+Y44</f>
        <v>306000</v>
      </c>
      <c r="Z45" s="268">
        <v>8</v>
      </c>
      <c r="AA45" s="308">
        <f>Таблица_навык_крит._защита[[#This Row],[крит. Защита]]+AA44</f>
        <v>72</v>
      </c>
      <c r="AE45" s="115">
        <v>19</v>
      </c>
      <c r="AF45" s="116">
        <v>223000</v>
      </c>
      <c r="AG45" s="146">
        <f>Таблица_навык_первая_помощь[[#This Row],[опыт ]]+AG44</f>
        <v>970000</v>
      </c>
      <c r="AH45" s="260">
        <v>0.08</v>
      </c>
      <c r="AI45" s="261">
        <f>Таблица_навык_первая_помощь[[#This Row],[эфф. Аптечек]]+AI44</f>
        <v>1.2200000000000004</v>
      </c>
      <c r="AQ45" s="115">
        <v>6</v>
      </c>
      <c r="AR45" s="132">
        <v>7000</v>
      </c>
      <c r="AS45" s="318">
        <f>Таблица_навык_потоковая_компрессия[[#This Row],[опыт]]+AS44</f>
        <v>21000</v>
      </c>
      <c r="AT45" s="270">
        <v>0.04</v>
      </c>
      <c r="AU45" s="332">
        <f>Таблица_навык_потоковая_компрессия[[#This Row],[время сканирования]]+AU44</f>
        <v>0.22000000000000003</v>
      </c>
      <c r="BA45" s="147">
        <v>14</v>
      </c>
      <c r="BB45" s="116">
        <v>179000</v>
      </c>
      <c r="BC45" s="146">
        <f>Таблица_тренинг_В[[#This Row],[опыт]]+BC44</f>
        <v>614000</v>
      </c>
      <c r="BD45" s="335">
        <v>0.08</v>
      </c>
      <c r="BE45" s="322">
        <f>Таблица_тренинг_В[[#This Row],[всприятие]]+BE44</f>
        <v>1.1199999999999999</v>
      </c>
      <c r="BF45" s="130"/>
      <c r="BM45" s="227">
        <v>14</v>
      </c>
      <c r="BN45" s="219">
        <v>179000</v>
      </c>
      <c r="BO45" s="255">
        <f>Таблица_навык_защитник[[#This Row],[опыт]]+BO44</f>
        <v>614000</v>
      </c>
      <c r="BP45" s="178"/>
      <c r="BQ45" s="244">
        <f>Таблица_навык_защитник[[#This Row],[сопр. Эфф]]+BQ44</f>
        <v>9</v>
      </c>
      <c r="BR45" s="217"/>
      <c r="BS45" s="244">
        <f>Таблица_навык_защитник[[#This Row],[крит. Защ]]+BS44</f>
        <v>12</v>
      </c>
      <c r="BT45" s="217"/>
      <c r="BU45" s="244">
        <f>Таблица_навык_защитник[[#This Row],[крит. Уклонение]]+BU44</f>
        <v>9</v>
      </c>
      <c r="BV45" s="217">
        <v>3</v>
      </c>
      <c r="BW45" s="244">
        <f>Таблица_навык_защитник[[#This Row],[маскировка]]+BW44</f>
        <v>6</v>
      </c>
      <c r="BX45" s="251"/>
      <c r="BY45" s="252">
        <f>Таблица_навык_защитник[[#This Row],[защита]]+BY44</f>
        <v>7.0000000000000007E-2</v>
      </c>
    </row>
    <row r="46" spans="1:77" x14ac:dyDescent="0.25">
      <c r="A46" s="117">
        <v>10</v>
      </c>
      <c r="B46" s="116">
        <v>29000</v>
      </c>
      <c r="C46" s="128">
        <f>Таблица_навык_урон[[#This Row],[опыт]]+C45</f>
        <v>101000</v>
      </c>
      <c r="D46" s="262">
        <v>0.04</v>
      </c>
      <c r="E46" s="261">
        <f>Таблица_навык_урон[[#This Row],[урон2]]+E45</f>
        <v>0.49999999999999989</v>
      </c>
      <c r="G46" s="115">
        <v>10</v>
      </c>
      <c r="H46" s="116">
        <v>88000</v>
      </c>
      <c r="I46" s="128">
        <f>Таблица_навык_крит._урон[[#This Row],[опыт]]+I45</f>
        <v>394000</v>
      </c>
      <c r="J46" s="260">
        <v>0.02</v>
      </c>
      <c r="K46" s="261">
        <f>Таблица_навык_крит._урон[[#This Row],[Крит. Урон2]]+K45</f>
        <v>0.19999999999999998</v>
      </c>
      <c r="Q46" s="115">
        <v>10</v>
      </c>
      <c r="R46" s="116">
        <v>35000</v>
      </c>
      <c r="S46" s="313">
        <f>Таблица_навык_защита[[#This Row],[опыт]]+S45</f>
        <v>118000</v>
      </c>
      <c r="T46" s="260">
        <v>0.05</v>
      </c>
      <c r="U46" s="261">
        <f>Таблица_навык_защита[[#This Row],[защита2]]+U45</f>
        <v>0.39</v>
      </c>
      <c r="W46" s="150">
        <v>10</v>
      </c>
      <c r="X46" s="116">
        <v>88000</v>
      </c>
      <c r="Y46" s="146">
        <f>Таблица_навык_крит._защита[[#This Row],[опыт]]+Y45</f>
        <v>394000</v>
      </c>
      <c r="Z46" s="268">
        <v>8</v>
      </c>
      <c r="AA46" s="308">
        <f>Таблица_навык_крит._защита[[#This Row],[крит. Защита]]+AA45</f>
        <v>80</v>
      </c>
      <c r="AE46" s="115">
        <v>20</v>
      </c>
      <c r="AF46" s="116">
        <v>286000</v>
      </c>
      <c r="AG46" s="146">
        <f>Таблица_навык_первая_помощь[[#This Row],[опыт ]]+AG45</f>
        <v>1256000</v>
      </c>
      <c r="AH46" s="260">
        <v>0.08</v>
      </c>
      <c r="AI46" s="261">
        <f>Таблица_навык_первая_помощь[[#This Row],[эфф. Аптечек]]+AI45</f>
        <v>1.3000000000000005</v>
      </c>
      <c r="AQ46" s="147">
        <v>7</v>
      </c>
      <c r="AR46" s="132">
        <v>10000</v>
      </c>
      <c r="AS46" s="318">
        <f>Таблица_навык_потоковая_компрессия[[#This Row],[опыт]]+AS45</f>
        <v>31000</v>
      </c>
      <c r="AT46" s="270">
        <v>0.05</v>
      </c>
      <c r="AU46" s="332">
        <f>Таблица_навык_потоковая_компрессия[[#This Row],[время сканирования]]+AU45</f>
        <v>0.27</v>
      </c>
      <c r="BA46" s="147">
        <v>15</v>
      </c>
      <c r="BB46" s="116">
        <v>250000</v>
      </c>
      <c r="BC46" s="146">
        <f>Таблица_тренинг_В[[#This Row],[опыт]]+BC45</f>
        <v>864000</v>
      </c>
      <c r="BD46" s="335">
        <v>0.08</v>
      </c>
      <c r="BE46" s="322">
        <f>Таблица_тренинг_В[[#This Row],[всприятие]]+BE45</f>
        <v>1.2</v>
      </c>
      <c r="BF46" s="130"/>
      <c r="BG46" s="194" t="s">
        <v>165</v>
      </c>
      <c r="BH46" s="201" t="s">
        <v>153</v>
      </c>
      <c r="BI46" s="202" t="s">
        <v>495</v>
      </c>
      <c r="BJ46" s="201" t="s">
        <v>548</v>
      </c>
      <c r="BK46" s="238" t="s">
        <v>496</v>
      </c>
      <c r="BM46" s="227">
        <v>15</v>
      </c>
      <c r="BN46" s="219">
        <v>250000</v>
      </c>
      <c r="BO46" s="255">
        <f>Таблица_навык_защитник[[#This Row],[опыт]]+BO45</f>
        <v>864000</v>
      </c>
      <c r="BP46" s="178"/>
      <c r="BQ46" s="244">
        <f>Таблица_навык_защитник[[#This Row],[сопр. Эфф]]+BQ45</f>
        <v>9</v>
      </c>
      <c r="BR46" s="217"/>
      <c r="BS46" s="244">
        <f>Таблица_навык_защитник[[#This Row],[крит. Защ]]+BS45</f>
        <v>12</v>
      </c>
      <c r="BT46" s="217"/>
      <c r="BU46" s="244">
        <f>Таблица_навык_защитник[[#This Row],[крит. Уклонение]]+BU45</f>
        <v>9</v>
      </c>
      <c r="BV46" s="217"/>
      <c r="BW46" s="244">
        <f>Таблица_навык_защитник[[#This Row],[маскировка]]+BW45</f>
        <v>6</v>
      </c>
      <c r="BX46" s="251">
        <v>0.06</v>
      </c>
      <c r="BY46" s="252">
        <f>Таблица_навык_защитник[[#This Row],[защита]]+BY45</f>
        <v>0.13</v>
      </c>
    </row>
    <row r="47" spans="1:77" x14ac:dyDescent="0.25">
      <c r="A47" s="117">
        <v>11</v>
      </c>
      <c r="B47" s="116">
        <v>39000</v>
      </c>
      <c r="C47" s="128">
        <f>Таблица_навык_урон[[#This Row],[опыт]]+C46</f>
        <v>140000</v>
      </c>
      <c r="D47" s="262">
        <v>0.04</v>
      </c>
      <c r="E47" s="261">
        <f>Таблица_навык_урон[[#This Row],[урон2]]+E46</f>
        <v>0.53999999999999992</v>
      </c>
      <c r="G47" s="115">
        <v>11</v>
      </c>
      <c r="H47" s="116">
        <v>107000</v>
      </c>
      <c r="I47" s="128">
        <f>Таблица_навык_крит._урон[[#This Row],[опыт]]+I46</f>
        <v>501000</v>
      </c>
      <c r="J47" s="260">
        <v>0.02</v>
      </c>
      <c r="K47" s="261">
        <f>Таблица_навык_крит._урон[[#This Row],[Крит. Урон2]]+K46</f>
        <v>0.21999999999999997</v>
      </c>
      <c r="Q47" s="115">
        <v>11</v>
      </c>
      <c r="R47" s="116">
        <v>48000</v>
      </c>
      <c r="S47" s="313">
        <f>Таблица_навык_защита[[#This Row],[опыт]]+S46</f>
        <v>166000</v>
      </c>
      <c r="T47" s="260">
        <v>0.1</v>
      </c>
      <c r="U47" s="261">
        <f>Таблица_навык_защита[[#This Row],[защита2]]+U46</f>
        <v>0.49</v>
      </c>
      <c r="W47" s="150">
        <v>11</v>
      </c>
      <c r="X47" s="116">
        <v>107000</v>
      </c>
      <c r="Y47" s="146">
        <f>Таблица_навык_крит._защита[[#This Row],[опыт]]+Y46</f>
        <v>501000</v>
      </c>
      <c r="Z47" s="268">
        <v>8</v>
      </c>
      <c r="AA47" s="308">
        <f>Таблица_навык_крит._защита[[#This Row],[крит. Защита]]+AA46</f>
        <v>88</v>
      </c>
      <c r="AE47" s="115">
        <v>21</v>
      </c>
      <c r="AF47" s="116">
        <v>367000</v>
      </c>
      <c r="AG47" s="146">
        <f>Таблица_навык_первая_помощь[[#This Row],[опыт ]]+AG46</f>
        <v>1623000</v>
      </c>
      <c r="AH47" s="260">
        <v>0.09</v>
      </c>
      <c r="AI47" s="261">
        <f>Таблица_навык_первая_помощь[[#This Row],[эфф. Аптечек]]+AI46</f>
        <v>1.3900000000000006</v>
      </c>
      <c r="AQ47" s="115">
        <v>8</v>
      </c>
      <c r="AR47" s="132">
        <v>13000</v>
      </c>
      <c r="AS47" s="318">
        <f>Таблица_навык_потоковая_компрессия[[#This Row],[опыт]]+AS46</f>
        <v>44000</v>
      </c>
      <c r="AT47" s="270">
        <v>0.05</v>
      </c>
      <c r="AU47" s="332">
        <f>Таблица_навык_потоковая_компрессия[[#This Row],[время сканирования]]+AU46</f>
        <v>0.32</v>
      </c>
      <c r="BA47" s="147">
        <v>16</v>
      </c>
      <c r="BB47" s="116">
        <v>340000</v>
      </c>
      <c r="BC47" s="146">
        <f>Таблица_тренинг_В[[#This Row],[опыт]]+BC46</f>
        <v>1204000</v>
      </c>
      <c r="BD47" s="335">
        <v>0.08</v>
      </c>
      <c r="BE47" s="322">
        <f>Таблица_тренинг_В[[#This Row],[всприятие]]+BE46</f>
        <v>1.28</v>
      </c>
      <c r="BF47" s="130"/>
      <c r="BG47" s="195">
        <v>0</v>
      </c>
      <c r="BH47" s="186">
        <v>0</v>
      </c>
      <c r="BI47" s="187">
        <v>0</v>
      </c>
      <c r="BJ47" s="186"/>
      <c r="BK47" s="239">
        <v>0</v>
      </c>
      <c r="BM47" s="227">
        <v>16</v>
      </c>
      <c r="BN47" s="219">
        <v>340000</v>
      </c>
      <c r="BO47" s="255">
        <f>Таблица_навык_защитник[[#This Row],[опыт]]+BO46</f>
        <v>1204000</v>
      </c>
      <c r="BP47" s="178">
        <v>5</v>
      </c>
      <c r="BQ47" s="244">
        <f>Таблица_навык_защитник[[#This Row],[сопр. Эфф]]+BQ46</f>
        <v>14</v>
      </c>
      <c r="BR47" s="217"/>
      <c r="BS47" s="244">
        <f>Таблица_навык_защитник[[#This Row],[крит. Защ]]+BS46</f>
        <v>12</v>
      </c>
      <c r="BT47" s="217"/>
      <c r="BU47" s="244">
        <f>Таблица_навык_защитник[[#This Row],[крит. Уклонение]]+BU46</f>
        <v>9</v>
      </c>
      <c r="BV47" s="217"/>
      <c r="BW47" s="244">
        <f>Таблица_навык_защитник[[#This Row],[маскировка]]+BW46</f>
        <v>6</v>
      </c>
      <c r="BX47" s="251"/>
      <c r="BY47" s="252">
        <f>Таблица_навык_защитник[[#This Row],[защита]]+BY46</f>
        <v>0.13</v>
      </c>
    </row>
    <row r="48" spans="1:77" x14ac:dyDescent="0.25">
      <c r="A48" s="117">
        <v>12</v>
      </c>
      <c r="B48" s="116">
        <v>52000</v>
      </c>
      <c r="C48" s="128">
        <f>Таблица_навык_урон[[#This Row],[опыт]]+C47</f>
        <v>192000</v>
      </c>
      <c r="D48" s="262">
        <v>0.04</v>
      </c>
      <c r="E48" s="261">
        <f>Таблица_навык_урон[[#This Row],[урон2]]+E47</f>
        <v>0.57999999999999996</v>
      </c>
      <c r="G48" s="115">
        <v>12</v>
      </c>
      <c r="H48" s="116">
        <v>130000</v>
      </c>
      <c r="I48" s="128">
        <f>Таблица_навык_крит._урон[[#This Row],[опыт]]+I47</f>
        <v>631000</v>
      </c>
      <c r="J48" s="260">
        <v>0.02</v>
      </c>
      <c r="K48" s="261">
        <f>Таблица_навык_крит._урон[[#This Row],[Крит. Урон2]]+K47</f>
        <v>0.23999999999999996</v>
      </c>
      <c r="Q48" s="115">
        <v>12</v>
      </c>
      <c r="R48" s="116">
        <v>66000</v>
      </c>
      <c r="S48" s="313">
        <f>Таблица_навык_защита[[#This Row],[опыт]]+S47</f>
        <v>232000</v>
      </c>
      <c r="T48" s="260">
        <v>0.1</v>
      </c>
      <c r="U48" s="261">
        <f>Таблица_навык_защита[[#This Row],[защита2]]+U47</f>
        <v>0.59</v>
      </c>
      <c r="W48" s="150">
        <v>12</v>
      </c>
      <c r="X48" s="116">
        <v>130000</v>
      </c>
      <c r="Y48" s="146">
        <f>Таблица_навык_крит._защита[[#This Row],[опыт]]+Y47</f>
        <v>631000</v>
      </c>
      <c r="Z48" s="268">
        <v>8</v>
      </c>
      <c r="AA48" s="308">
        <f>Таблица_навык_крит._защита[[#This Row],[крит. Защита]]+AA47</f>
        <v>96</v>
      </c>
      <c r="AE48" s="115">
        <v>22</v>
      </c>
      <c r="AF48" s="116">
        <v>468000</v>
      </c>
      <c r="AG48" s="146">
        <f>Таблица_навык_первая_помощь[[#This Row],[опыт ]]+AG47</f>
        <v>2091000</v>
      </c>
      <c r="AH48" s="260">
        <v>0.09</v>
      </c>
      <c r="AI48" s="261">
        <f>Таблица_навык_первая_помощь[[#This Row],[эфф. Аптечек]]+AI47</f>
        <v>1.4800000000000006</v>
      </c>
      <c r="AQ48" s="147">
        <v>9</v>
      </c>
      <c r="AR48" s="132">
        <v>17000</v>
      </c>
      <c r="AS48" s="318">
        <f>Таблица_навык_потоковая_компрессия[[#This Row],[опыт]]+AS47</f>
        <v>61000</v>
      </c>
      <c r="AT48" s="270">
        <v>0.05</v>
      </c>
      <c r="AU48" s="332">
        <f>Таблица_навык_потоковая_компрессия[[#This Row],[время сканирования]]+AU47</f>
        <v>0.37</v>
      </c>
      <c r="BA48" s="147">
        <v>17</v>
      </c>
      <c r="BB48" s="116">
        <v>471000</v>
      </c>
      <c r="BC48" s="146">
        <f>Таблица_тренинг_В[[#This Row],[опыт]]+BC47</f>
        <v>1675000</v>
      </c>
      <c r="BD48" s="335">
        <v>0.08</v>
      </c>
      <c r="BE48" s="322">
        <f>Таблица_тренинг_В[[#This Row],[всприятие]]+BE47</f>
        <v>1.36</v>
      </c>
      <c r="BF48" s="130"/>
      <c r="BG48" s="195">
        <v>1</v>
      </c>
      <c r="BH48" s="186">
        <v>1000</v>
      </c>
      <c r="BI48" s="187">
        <f>Таблица_навык_торговец[[#This Row],[опыт]]+BI47</f>
        <v>1000</v>
      </c>
      <c r="BJ48" s="186">
        <v>1</v>
      </c>
      <c r="BK48" s="239">
        <f>Таблица_навык_торговец[[#This Row],[кол-во контрактов]]+BK47</f>
        <v>1</v>
      </c>
      <c r="BM48" s="227">
        <v>17</v>
      </c>
      <c r="BN48" s="219">
        <v>471000</v>
      </c>
      <c r="BO48" s="255">
        <f>Таблица_навык_защитник[[#This Row],[опыт]]+BO47</f>
        <v>1675000</v>
      </c>
      <c r="BP48" s="178"/>
      <c r="BQ48" s="244">
        <f>Таблица_навык_защитник[[#This Row],[сопр. Эфф]]+BQ47</f>
        <v>14</v>
      </c>
      <c r="BR48" s="217">
        <v>6</v>
      </c>
      <c r="BS48" s="244">
        <f>Таблица_навык_защитник[[#This Row],[крит. Защ]]+BS47</f>
        <v>18</v>
      </c>
      <c r="BT48" s="217"/>
      <c r="BU48" s="244">
        <f>Таблица_навык_защитник[[#This Row],[крит. Уклонение]]+BU47</f>
        <v>9</v>
      </c>
      <c r="BV48" s="217"/>
      <c r="BW48" s="244">
        <f>Таблица_навык_защитник[[#This Row],[маскировка]]+BW47</f>
        <v>6</v>
      </c>
      <c r="BX48" s="251"/>
      <c r="BY48" s="252">
        <f>Таблица_навык_защитник[[#This Row],[защита]]+BY47</f>
        <v>0.13</v>
      </c>
    </row>
    <row r="49" spans="1:77" x14ac:dyDescent="0.25">
      <c r="A49" s="117">
        <v>13</v>
      </c>
      <c r="B49" s="116">
        <v>70000</v>
      </c>
      <c r="C49" s="128">
        <f>Таблица_навык_урон[[#This Row],[опыт]]+C48</f>
        <v>262000</v>
      </c>
      <c r="D49" s="262">
        <v>0.04</v>
      </c>
      <c r="E49" s="261">
        <f>Таблица_навык_урон[[#This Row],[урон2]]+E48</f>
        <v>0.62</v>
      </c>
      <c r="G49" s="115">
        <v>13</v>
      </c>
      <c r="H49" s="116">
        <v>158000</v>
      </c>
      <c r="I49" s="128">
        <f>Таблица_навык_крит._урон[[#This Row],[опыт]]+I48</f>
        <v>789000</v>
      </c>
      <c r="J49" s="260">
        <v>0.02</v>
      </c>
      <c r="K49" s="261">
        <f>Таблица_навык_крит._урон[[#This Row],[Крит. Урон2]]+K48</f>
        <v>0.25999999999999995</v>
      </c>
      <c r="Q49" s="115">
        <v>13</v>
      </c>
      <c r="R49" s="116">
        <v>90000</v>
      </c>
      <c r="S49" s="313">
        <f>Таблица_навык_защита[[#This Row],[опыт]]+S48</f>
        <v>322000</v>
      </c>
      <c r="T49" s="260">
        <v>0.1</v>
      </c>
      <c r="U49" s="261">
        <f>Таблица_навык_защита[[#This Row],[защита2]]+U48</f>
        <v>0.69</v>
      </c>
      <c r="W49" s="150">
        <v>13</v>
      </c>
      <c r="X49" s="116">
        <v>158000</v>
      </c>
      <c r="Y49" s="146">
        <f>Таблица_навык_крит._защита[[#This Row],[опыт]]+Y48</f>
        <v>789000</v>
      </c>
      <c r="Z49" s="268">
        <v>8</v>
      </c>
      <c r="AA49" s="308">
        <f>Таблица_навык_крит._защита[[#This Row],[крит. Защита]]+AA48</f>
        <v>104</v>
      </c>
      <c r="AE49" s="115">
        <v>23</v>
      </c>
      <c r="AF49" s="116">
        <v>598000</v>
      </c>
      <c r="AG49" s="146">
        <f>Таблица_навык_первая_помощь[[#This Row],[опыт ]]+AG48</f>
        <v>2689000</v>
      </c>
      <c r="AH49" s="260">
        <v>0.09</v>
      </c>
      <c r="AI49" s="261">
        <f>Таблица_навык_первая_помощь[[#This Row],[эфф. Аптечек]]+AI48</f>
        <v>1.5700000000000007</v>
      </c>
      <c r="AQ49" s="117">
        <v>10</v>
      </c>
      <c r="AR49" s="132">
        <v>22000</v>
      </c>
      <c r="AS49" s="318">
        <f>Таблица_навык_потоковая_компрессия[[#This Row],[опыт]]+AS48</f>
        <v>83000</v>
      </c>
      <c r="AT49" s="270">
        <v>0.06</v>
      </c>
      <c r="AU49" s="332">
        <f>Таблица_навык_потоковая_компрессия[[#This Row],[время сканирования]]+AU48</f>
        <v>0.43</v>
      </c>
      <c r="BA49" s="147">
        <v>18</v>
      </c>
      <c r="BB49" s="116">
        <v>649000</v>
      </c>
      <c r="BC49" s="146">
        <f>Таблица_тренинг_В[[#This Row],[опыт]]+BC48</f>
        <v>2324000</v>
      </c>
      <c r="BD49" s="335">
        <v>0.08</v>
      </c>
      <c r="BE49" s="322">
        <f>Таблица_тренинг_В[[#This Row],[всприятие]]+BE48</f>
        <v>1.4400000000000002</v>
      </c>
      <c r="BF49" s="130"/>
      <c r="BG49" s="195">
        <v>2</v>
      </c>
      <c r="BH49" s="186">
        <v>2000</v>
      </c>
      <c r="BI49" s="187">
        <f>Таблица_навык_торговец[[#This Row],[опыт]]+BI48</f>
        <v>3000</v>
      </c>
      <c r="BJ49" s="186">
        <v>1</v>
      </c>
      <c r="BK49" s="239">
        <f>Таблица_навык_торговец[[#This Row],[кол-во контрактов]]+BK48</f>
        <v>2</v>
      </c>
      <c r="BM49" s="227">
        <v>18</v>
      </c>
      <c r="BN49" s="219">
        <v>649000</v>
      </c>
      <c r="BO49" s="255">
        <f>Таблица_навык_защитник[[#This Row],[опыт]]+BO48</f>
        <v>2324000</v>
      </c>
      <c r="BP49" s="178"/>
      <c r="BQ49" s="244">
        <f>Таблица_навык_защитник[[#This Row],[сопр. Эфф]]+BQ48</f>
        <v>14</v>
      </c>
      <c r="BR49" s="217"/>
      <c r="BS49" s="244">
        <f>Таблица_навык_защитник[[#This Row],[крит. Защ]]+BS48</f>
        <v>18</v>
      </c>
      <c r="BT49" s="217">
        <v>5</v>
      </c>
      <c r="BU49" s="244">
        <f>Таблица_навык_защитник[[#This Row],[крит. Уклонение]]+BU48</f>
        <v>14</v>
      </c>
      <c r="BV49" s="217"/>
      <c r="BW49" s="244">
        <f>Таблица_навык_защитник[[#This Row],[маскировка]]+BW48</f>
        <v>6</v>
      </c>
      <c r="BX49" s="251"/>
      <c r="BY49" s="252">
        <f>Таблица_навык_защитник[[#This Row],[защита]]+BY48</f>
        <v>0.13</v>
      </c>
    </row>
    <row r="50" spans="1:77" x14ac:dyDescent="0.25">
      <c r="A50" s="117">
        <v>14</v>
      </c>
      <c r="B50" s="116">
        <v>94000</v>
      </c>
      <c r="C50" s="128">
        <f>Таблица_навык_урон[[#This Row],[опыт]]+C49</f>
        <v>356000</v>
      </c>
      <c r="D50" s="262">
        <v>0.04</v>
      </c>
      <c r="E50" s="261">
        <f>Таблица_навык_урон[[#This Row],[урон2]]+E49</f>
        <v>0.66</v>
      </c>
      <c r="G50" s="115">
        <v>14</v>
      </c>
      <c r="H50" s="116">
        <v>191000</v>
      </c>
      <c r="I50" s="128">
        <f>Таблица_навык_крит._урон[[#This Row],[опыт]]+I49</f>
        <v>980000</v>
      </c>
      <c r="J50" s="260">
        <v>0.02</v>
      </c>
      <c r="K50" s="261">
        <f>Таблица_навык_крит._урон[[#This Row],[Крит. Урон2]]+K49</f>
        <v>0.27999999999999997</v>
      </c>
      <c r="Q50" s="115">
        <v>14</v>
      </c>
      <c r="R50" s="116">
        <v>122000</v>
      </c>
      <c r="S50" s="313">
        <f>Таблица_навык_защита[[#This Row],[опыт]]+S49</f>
        <v>444000</v>
      </c>
      <c r="T50" s="260">
        <v>0.1</v>
      </c>
      <c r="U50" s="261">
        <f>Таблица_навык_защита[[#This Row],[защита2]]+U49</f>
        <v>0.78999999999999992</v>
      </c>
      <c r="W50" s="150">
        <v>14</v>
      </c>
      <c r="X50" s="116">
        <v>191000</v>
      </c>
      <c r="Y50" s="146">
        <f>Таблица_навык_крит._защита[[#This Row],[опыт]]+Y49</f>
        <v>980000</v>
      </c>
      <c r="Z50" s="268">
        <v>8</v>
      </c>
      <c r="AA50" s="308">
        <f>Таблица_навык_крит._защита[[#This Row],[крит. Защита]]+AA49</f>
        <v>112</v>
      </c>
      <c r="AE50" s="115">
        <v>24</v>
      </c>
      <c r="AF50" s="116">
        <v>762000</v>
      </c>
      <c r="AG50" s="146">
        <f>Таблица_навык_первая_помощь[[#This Row],[опыт ]]+AG49</f>
        <v>3451000</v>
      </c>
      <c r="AH50" s="260">
        <v>0.09</v>
      </c>
      <c r="AI50" s="261">
        <f>Таблица_навык_первая_помощь[[#This Row],[эфф. Аптечек]]+AI49</f>
        <v>1.6600000000000008</v>
      </c>
      <c r="AQ50" s="159">
        <v>11</v>
      </c>
      <c r="AR50" s="132">
        <v>30000</v>
      </c>
      <c r="AS50" s="318">
        <f>Таблица_навык_потоковая_компрессия[[#This Row],[опыт]]+AS49</f>
        <v>113000</v>
      </c>
      <c r="AT50" s="270">
        <v>0.06</v>
      </c>
      <c r="AU50" s="332">
        <f>Таблица_навык_потоковая_компрессия[[#This Row],[время сканирования]]+AU49</f>
        <v>0.49</v>
      </c>
      <c r="BA50" s="147">
        <v>19</v>
      </c>
      <c r="BB50" s="116">
        <v>889000</v>
      </c>
      <c r="BC50" s="146">
        <f>Таблица_тренинг_В[[#This Row],[опыт]]+BC49</f>
        <v>3213000</v>
      </c>
      <c r="BD50" s="335">
        <v>0.08</v>
      </c>
      <c r="BE50" s="322">
        <f>Таблица_тренинг_В[[#This Row],[всприятие]]+BE49</f>
        <v>1.5200000000000002</v>
      </c>
      <c r="BF50" s="130"/>
      <c r="BG50" s="195">
        <v>3</v>
      </c>
      <c r="BH50" s="186">
        <v>3000</v>
      </c>
      <c r="BI50" s="187">
        <f>Таблица_навык_торговец[[#This Row],[опыт]]+BI49</f>
        <v>6000</v>
      </c>
      <c r="BJ50" s="186">
        <v>1</v>
      </c>
      <c r="BK50" s="239">
        <f>Таблица_навык_торговец[[#This Row],[кол-во контрактов]]+BK49</f>
        <v>3</v>
      </c>
      <c r="BM50" s="227">
        <v>19</v>
      </c>
      <c r="BN50" s="219">
        <v>889000</v>
      </c>
      <c r="BO50" s="255">
        <f>Таблица_навык_защитник[[#This Row],[опыт]]+BO49</f>
        <v>3213000</v>
      </c>
      <c r="BP50" s="178"/>
      <c r="BQ50" s="244">
        <f>Таблица_навык_защитник[[#This Row],[сопр. Эфф]]+BQ49</f>
        <v>14</v>
      </c>
      <c r="BR50" s="217"/>
      <c r="BS50" s="244">
        <f>Таблица_навык_защитник[[#This Row],[крит. Защ]]+BS49</f>
        <v>18</v>
      </c>
      <c r="BT50" s="217"/>
      <c r="BU50" s="244">
        <f>Таблица_навык_защитник[[#This Row],[крит. Уклонение]]+BU49</f>
        <v>14</v>
      </c>
      <c r="BV50" s="217">
        <v>4</v>
      </c>
      <c r="BW50" s="244">
        <f>Таблица_навык_защитник[[#This Row],[маскировка]]+BW49</f>
        <v>10</v>
      </c>
      <c r="BX50" s="251"/>
      <c r="BY50" s="252">
        <f>Таблица_навык_защитник[[#This Row],[защита]]+BY49</f>
        <v>0.13</v>
      </c>
    </row>
    <row r="51" spans="1:77" x14ac:dyDescent="0.25">
      <c r="A51" s="115">
        <v>15</v>
      </c>
      <c r="B51" s="116">
        <v>124000</v>
      </c>
      <c r="C51" s="128">
        <f>Таблица_навык_урон[[#This Row],[опыт]]+C50</f>
        <v>480000</v>
      </c>
      <c r="D51" s="262">
        <v>0.04</v>
      </c>
      <c r="E51" s="261">
        <f>Таблица_навык_урон[[#This Row],[урон2]]+E50</f>
        <v>0.70000000000000007</v>
      </c>
      <c r="G51" s="115">
        <v>15</v>
      </c>
      <c r="H51" s="116">
        <v>230000</v>
      </c>
      <c r="I51" s="128">
        <f>Таблица_навык_крит._урон[[#This Row],[опыт]]+I50</f>
        <v>1210000</v>
      </c>
      <c r="J51" s="260">
        <v>0.02</v>
      </c>
      <c r="K51" s="261">
        <f>Таблица_навык_крит._урон[[#This Row],[Крит. Урон2]]+K50</f>
        <v>0.3</v>
      </c>
      <c r="Q51" s="115">
        <v>15</v>
      </c>
      <c r="R51" s="116">
        <v>164000</v>
      </c>
      <c r="S51" s="313">
        <f>Таблица_навык_защита[[#This Row],[опыт]]+S50</f>
        <v>608000</v>
      </c>
      <c r="T51" s="260">
        <v>0.1</v>
      </c>
      <c r="U51" s="261">
        <f>Таблица_навык_защита[[#This Row],[защита2]]+U50</f>
        <v>0.8899999999999999</v>
      </c>
      <c r="W51" s="150">
        <v>15</v>
      </c>
      <c r="X51" s="116">
        <v>230000</v>
      </c>
      <c r="Y51" s="146">
        <f>Таблица_навык_крит._защита[[#This Row],[опыт]]+Y50</f>
        <v>1210000</v>
      </c>
      <c r="Z51" s="268">
        <v>8</v>
      </c>
      <c r="AA51" s="308">
        <f>Таблица_навык_крит._защита[[#This Row],[крит. Защита]]+AA50</f>
        <v>120</v>
      </c>
      <c r="AE51" s="115">
        <v>25</v>
      </c>
      <c r="AF51" s="116">
        <v>970000</v>
      </c>
      <c r="AG51" s="146">
        <f>Таблица_навык_первая_помощь[[#This Row],[опыт ]]+AG50</f>
        <v>4421000</v>
      </c>
      <c r="AH51" s="260">
        <v>0.09</v>
      </c>
      <c r="AI51" s="261">
        <f>Таблица_навык_первая_помощь[[#This Row],[эфф. Аптечек]]+AI50</f>
        <v>1.7500000000000009</v>
      </c>
      <c r="AQ51" s="117">
        <v>12</v>
      </c>
      <c r="AR51" s="132">
        <v>40000</v>
      </c>
      <c r="AS51" s="318">
        <f>Таблица_навык_потоковая_компрессия[[#This Row],[опыт]]+AS50</f>
        <v>153000</v>
      </c>
      <c r="AT51" s="270">
        <v>0.06</v>
      </c>
      <c r="AU51" s="332">
        <f>Таблица_навык_потоковая_компрессия[[#This Row],[время сканирования]]+AU50</f>
        <v>0.55000000000000004</v>
      </c>
      <c r="BA51" s="147">
        <v>20</v>
      </c>
      <c r="BB51" s="116">
        <v>1218000</v>
      </c>
      <c r="BC51" s="146">
        <f>Таблица_тренинг_В[[#This Row],[опыт]]+BC50</f>
        <v>4431000</v>
      </c>
      <c r="BD51" s="335">
        <v>0.08</v>
      </c>
      <c r="BE51" s="322">
        <f>Таблица_тренинг_В[[#This Row],[всприятие]]+BE50</f>
        <v>1.6000000000000003</v>
      </c>
      <c r="BF51" s="130"/>
      <c r="BG51" s="195">
        <v>4</v>
      </c>
      <c r="BH51" s="186">
        <v>5000</v>
      </c>
      <c r="BI51" s="187">
        <f>Таблица_навык_торговец[[#This Row],[опыт]]+BI50</f>
        <v>11000</v>
      </c>
      <c r="BJ51" s="186">
        <v>1</v>
      </c>
      <c r="BK51" s="239">
        <f>Таблица_навык_торговец[[#This Row],[кол-во контрактов]]+BK50</f>
        <v>4</v>
      </c>
      <c r="BM51" s="227">
        <v>20</v>
      </c>
      <c r="BN51" s="219">
        <v>1218000</v>
      </c>
      <c r="BO51" s="255">
        <f>Таблица_навык_защитник[[#This Row],[опыт]]+BO50</f>
        <v>4431000</v>
      </c>
      <c r="BP51" s="178"/>
      <c r="BQ51" s="244">
        <f>Таблица_навык_защитник[[#This Row],[сопр. Эфф]]+BQ50</f>
        <v>14</v>
      </c>
      <c r="BR51" s="217"/>
      <c r="BS51" s="244">
        <f>Таблица_навык_защитник[[#This Row],[крит. Защ]]+BS50</f>
        <v>18</v>
      </c>
      <c r="BT51" s="217"/>
      <c r="BU51" s="244">
        <f>Таблица_навык_защитник[[#This Row],[крит. Уклонение]]+BU50</f>
        <v>14</v>
      </c>
      <c r="BV51" s="217"/>
      <c r="BW51" s="244">
        <f>Таблица_навык_защитник[[#This Row],[маскировка]]+BW50</f>
        <v>10</v>
      </c>
      <c r="BX51" s="251">
        <v>0.1</v>
      </c>
      <c r="BY51" s="252">
        <f>Таблица_навык_защитник[[#This Row],[защита]]+BY50</f>
        <v>0.23</v>
      </c>
    </row>
    <row r="52" spans="1:77" x14ac:dyDescent="0.25">
      <c r="A52" s="115">
        <v>16</v>
      </c>
      <c r="B52" s="116">
        <v>166000</v>
      </c>
      <c r="C52" s="128">
        <f>Таблица_навык_урон[[#This Row],[опыт]]+C51</f>
        <v>646000</v>
      </c>
      <c r="D52" s="262">
        <v>0.03</v>
      </c>
      <c r="E52" s="261">
        <f>Таблица_навык_урон[[#This Row],[урон2]]+E51</f>
        <v>0.73000000000000009</v>
      </c>
      <c r="G52" s="115">
        <v>16</v>
      </c>
      <c r="H52" s="116">
        <v>276000</v>
      </c>
      <c r="I52" s="128">
        <f>Таблица_навык_крит._урон[[#This Row],[опыт]]+I51</f>
        <v>1486000</v>
      </c>
      <c r="J52" s="260">
        <v>0.02</v>
      </c>
      <c r="K52" s="261">
        <f>Таблица_навык_крит._урон[[#This Row],[Крит. Урон2]]+K51</f>
        <v>0.32</v>
      </c>
      <c r="Q52" s="115">
        <v>16</v>
      </c>
      <c r="R52" s="116">
        <v>223000</v>
      </c>
      <c r="S52" s="313">
        <f>Таблица_навык_защита[[#This Row],[опыт]]+S51</f>
        <v>831000</v>
      </c>
      <c r="T52" s="260">
        <v>0.15</v>
      </c>
      <c r="U52" s="261">
        <f>Таблица_навык_защита[[#This Row],[защита2]]+U51</f>
        <v>1.0399999999999998</v>
      </c>
      <c r="W52" s="150">
        <v>16</v>
      </c>
      <c r="X52" s="116">
        <v>276000</v>
      </c>
      <c r="Y52" s="146">
        <f>Таблица_навык_крит._защита[[#This Row],[опыт]]+Y51</f>
        <v>1486000</v>
      </c>
      <c r="Z52" s="268">
        <v>8</v>
      </c>
      <c r="AA52" s="308">
        <f>Таблица_навык_крит._защита[[#This Row],[крит. Защита]]+AA51</f>
        <v>128</v>
      </c>
      <c r="AE52" s="115">
        <v>26</v>
      </c>
      <c r="AF52" s="116">
        <v>1235000</v>
      </c>
      <c r="AG52" s="146">
        <f>Таблица_навык_первая_помощь[[#This Row],[опыт ]]+AG51</f>
        <v>5656000</v>
      </c>
      <c r="AH52" s="260">
        <v>0.1</v>
      </c>
      <c r="AI52" s="261">
        <f>Таблица_навык_первая_помощь[[#This Row],[эфф. Аптечек]]+AI51</f>
        <v>1.850000000000001</v>
      </c>
      <c r="AQ52" s="159">
        <v>13</v>
      </c>
      <c r="AR52" s="132">
        <v>51000</v>
      </c>
      <c r="AS52" s="318">
        <f>Таблица_навык_потоковая_компрессия[[#This Row],[опыт]]+AS51</f>
        <v>204000</v>
      </c>
      <c r="AT52" s="270">
        <v>0.06</v>
      </c>
      <c r="AU52" s="332">
        <f>Таблица_навык_потоковая_компрессия[[#This Row],[время сканирования]]+AU51</f>
        <v>0.6100000000000001</v>
      </c>
      <c r="BA52" s="147">
        <v>21</v>
      </c>
      <c r="BB52" s="116">
        <v>1663000</v>
      </c>
      <c r="BC52" s="146">
        <f>Таблица_тренинг_В[[#This Row],[опыт]]+BC51</f>
        <v>6094000</v>
      </c>
      <c r="BD52" s="335">
        <v>0.08</v>
      </c>
      <c r="BE52" s="322">
        <f>Таблица_тренинг_В[[#This Row],[всприятие]]+BE51</f>
        <v>1.6800000000000004</v>
      </c>
      <c r="BF52" s="130"/>
      <c r="BG52" s="195">
        <v>5</v>
      </c>
      <c r="BH52" s="186">
        <v>7000</v>
      </c>
      <c r="BI52" s="187">
        <f>Таблица_навык_торговец[[#This Row],[опыт]]+BI51</f>
        <v>18000</v>
      </c>
      <c r="BJ52" s="186">
        <v>1</v>
      </c>
      <c r="BK52" s="239">
        <f>Таблица_навык_торговец[[#This Row],[кол-во контрактов]]+BK51</f>
        <v>5</v>
      </c>
      <c r="BM52" s="227">
        <v>21</v>
      </c>
      <c r="BN52" s="219">
        <v>1663000</v>
      </c>
      <c r="BO52" s="255">
        <f>Таблица_навык_защитник[[#This Row],[опыт]]+BO51</f>
        <v>6094000</v>
      </c>
      <c r="BP52" s="178">
        <v>6</v>
      </c>
      <c r="BQ52" s="244">
        <f>Таблица_навык_защитник[[#This Row],[сопр. Эфф]]+BQ51</f>
        <v>20</v>
      </c>
      <c r="BR52" s="217"/>
      <c r="BS52" s="244">
        <f>Таблица_навык_защитник[[#This Row],[крит. Защ]]+BS51</f>
        <v>18</v>
      </c>
      <c r="BT52" s="217"/>
      <c r="BU52" s="244">
        <f>Таблица_навык_защитник[[#This Row],[крит. Уклонение]]+BU51</f>
        <v>14</v>
      </c>
      <c r="BV52" s="217"/>
      <c r="BW52" s="244">
        <f>Таблица_навык_защитник[[#This Row],[маскировка]]+BW51</f>
        <v>10</v>
      </c>
      <c r="BX52" s="251"/>
      <c r="BY52" s="252">
        <f>Таблица_навык_защитник[[#This Row],[защита]]+BY51</f>
        <v>0.23</v>
      </c>
    </row>
    <row r="53" spans="1:77" x14ac:dyDescent="0.25">
      <c r="A53" s="115">
        <v>17</v>
      </c>
      <c r="B53" s="116">
        <v>218000</v>
      </c>
      <c r="C53" s="128">
        <f>Таблица_навык_урон[[#This Row],[опыт]]+C52</f>
        <v>864000</v>
      </c>
      <c r="D53" s="262">
        <v>0.03</v>
      </c>
      <c r="E53" s="261">
        <f>Таблица_навык_урон[[#This Row],[урон2]]+E52</f>
        <v>0.76000000000000012</v>
      </c>
      <c r="G53" s="115">
        <v>17</v>
      </c>
      <c r="H53" s="116">
        <v>332000</v>
      </c>
      <c r="I53" s="128">
        <f>Таблица_навык_крит._урон[[#This Row],[опыт]]+I52</f>
        <v>1818000</v>
      </c>
      <c r="J53" s="260">
        <v>0.02</v>
      </c>
      <c r="K53" s="261">
        <f>Таблица_навык_крит._урон[[#This Row],[Крит. Урон2]]+K52</f>
        <v>0.34</v>
      </c>
      <c r="Q53" s="115">
        <v>17</v>
      </c>
      <c r="R53" s="116">
        <v>299000</v>
      </c>
      <c r="S53" s="313">
        <f>Таблица_навык_защита[[#This Row],[опыт]]+S52</f>
        <v>1130000</v>
      </c>
      <c r="T53" s="260">
        <v>0.15</v>
      </c>
      <c r="U53" s="261">
        <f>Таблица_навык_защита[[#This Row],[защита2]]+U52</f>
        <v>1.1899999999999997</v>
      </c>
      <c r="W53" s="150">
        <v>17</v>
      </c>
      <c r="X53" s="116">
        <v>332000</v>
      </c>
      <c r="Y53" s="146">
        <f>Таблица_навык_крит._защита[[#This Row],[опыт]]+Y52</f>
        <v>1818000</v>
      </c>
      <c r="Z53" s="268">
        <v>8</v>
      </c>
      <c r="AA53" s="308">
        <f>Таблица_навык_крит._защита[[#This Row],[крит. Защита]]+AA52</f>
        <v>136</v>
      </c>
      <c r="AE53" s="115">
        <v>27</v>
      </c>
      <c r="AF53" s="116">
        <v>1568000</v>
      </c>
      <c r="AG53" s="146">
        <f>Таблица_навык_первая_помощь[[#This Row],[опыт ]]+AG52</f>
        <v>7224000</v>
      </c>
      <c r="AH53" s="260">
        <v>0.1</v>
      </c>
      <c r="AI53" s="261">
        <f>Таблица_навык_первая_помощь[[#This Row],[эфф. Аптечек]]+AI52</f>
        <v>1.9500000000000011</v>
      </c>
      <c r="AQ53" s="117">
        <v>14</v>
      </c>
      <c r="AR53" s="132">
        <v>68000</v>
      </c>
      <c r="AS53" s="318">
        <f>Таблица_навык_потоковая_компрессия[[#This Row],[опыт]]+AS52</f>
        <v>272000</v>
      </c>
      <c r="AT53" s="270">
        <v>0.06</v>
      </c>
      <c r="AU53" s="332">
        <f>Таблица_навык_потоковая_компрессия[[#This Row],[время сканирования]]+AU52</f>
        <v>0.67000000000000015</v>
      </c>
      <c r="BA53" s="147">
        <v>22</v>
      </c>
      <c r="BB53" s="116">
        <v>2270000</v>
      </c>
      <c r="BC53" s="146">
        <f>Таблица_тренинг_В[[#This Row],[опыт]]+BC52</f>
        <v>8364000</v>
      </c>
      <c r="BD53" s="335">
        <v>0.08</v>
      </c>
      <c r="BE53" s="322">
        <f>Таблица_тренинг_В[[#This Row],[всприятие]]+BE52</f>
        <v>1.7600000000000005</v>
      </c>
      <c r="BF53" s="130"/>
      <c r="BG53" s="195">
        <v>6</v>
      </c>
      <c r="BH53" s="186">
        <v>9000</v>
      </c>
      <c r="BI53" s="187">
        <f>Таблица_навык_торговец[[#This Row],[опыт]]+BI52</f>
        <v>27000</v>
      </c>
      <c r="BJ53" s="186">
        <v>1</v>
      </c>
      <c r="BK53" s="239">
        <f>Таблица_навык_торговец[[#This Row],[кол-во контрактов]]+BK52</f>
        <v>6</v>
      </c>
      <c r="BM53" s="227">
        <v>22</v>
      </c>
      <c r="BN53" s="219">
        <v>2270000</v>
      </c>
      <c r="BO53" s="255">
        <f>Таблица_навык_защитник[[#This Row],[опыт]]+BO52</f>
        <v>8364000</v>
      </c>
      <c r="BP53" s="178"/>
      <c r="BQ53" s="244">
        <f>Таблица_навык_защитник[[#This Row],[сопр. Эфф]]+BQ52</f>
        <v>20</v>
      </c>
      <c r="BR53" s="217">
        <v>7</v>
      </c>
      <c r="BS53" s="244">
        <f>Таблица_навык_защитник[[#This Row],[крит. Защ]]+BS52</f>
        <v>25</v>
      </c>
      <c r="BT53" s="217"/>
      <c r="BU53" s="244">
        <f>Таблица_навык_защитник[[#This Row],[крит. Уклонение]]+BU52</f>
        <v>14</v>
      </c>
      <c r="BV53" s="217"/>
      <c r="BW53" s="244">
        <f>Таблица_навык_защитник[[#This Row],[маскировка]]+BW52</f>
        <v>10</v>
      </c>
      <c r="BX53" s="251"/>
      <c r="BY53" s="252">
        <f>Таблица_навык_защитник[[#This Row],[защита]]+BY52</f>
        <v>0.23</v>
      </c>
    </row>
    <row r="54" spans="1:77" ht="16.5" thickBot="1" x14ac:dyDescent="0.3">
      <c r="A54" s="115">
        <v>18</v>
      </c>
      <c r="B54" s="116">
        <v>289000</v>
      </c>
      <c r="C54" s="128">
        <f>Таблица_навык_урон[[#This Row],[опыт]]+C53</f>
        <v>1153000</v>
      </c>
      <c r="D54" s="262">
        <v>0.03</v>
      </c>
      <c r="E54" s="261">
        <f>Таблица_навык_урон[[#This Row],[урон2]]+E53</f>
        <v>0.79000000000000015</v>
      </c>
      <c r="G54" s="115">
        <v>18</v>
      </c>
      <c r="H54" s="116">
        <v>399000</v>
      </c>
      <c r="I54" s="128">
        <f>Таблица_навык_крит._урон[[#This Row],[опыт]]+I53</f>
        <v>2217000</v>
      </c>
      <c r="J54" s="260">
        <v>0.02</v>
      </c>
      <c r="K54" s="261">
        <f>Таблица_навык_крит._урон[[#This Row],[Крит. Урон2]]+K53</f>
        <v>0.36000000000000004</v>
      </c>
      <c r="Q54" s="115">
        <v>18</v>
      </c>
      <c r="R54" s="116">
        <v>401000</v>
      </c>
      <c r="S54" s="313">
        <f>Таблица_навык_защита[[#This Row],[опыт]]+S53</f>
        <v>1531000</v>
      </c>
      <c r="T54" s="260">
        <v>0.18</v>
      </c>
      <c r="U54" s="261">
        <f>Таблица_навык_защита[[#This Row],[защита2]]+U53</f>
        <v>1.3699999999999997</v>
      </c>
      <c r="W54" s="150">
        <v>18</v>
      </c>
      <c r="X54" s="116">
        <v>399000</v>
      </c>
      <c r="Y54" s="146">
        <f>Таблица_навык_крит._защита[[#This Row],[опыт]]+Y53</f>
        <v>2217000</v>
      </c>
      <c r="Z54" s="268">
        <v>8</v>
      </c>
      <c r="AA54" s="308">
        <f>Таблица_навык_крит._защита[[#This Row],[крит. Защита]]+AA53</f>
        <v>144</v>
      </c>
      <c r="AE54" s="115">
        <v>28</v>
      </c>
      <c r="AF54" s="116">
        <v>1991000</v>
      </c>
      <c r="AG54" s="146">
        <f>Таблица_навык_первая_помощь[[#This Row],[опыт ]]+AG53</f>
        <v>9215000</v>
      </c>
      <c r="AH54" s="260">
        <v>0.1</v>
      </c>
      <c r="AI54" s="261">
        <f>Таблица_навык_первая_помощь[[#This Row],[эфф. Аптечек]]+AI53</f>
        <v>2.0500000000000012</v>
      </c>
      <c r="AQ54" s="148">
        <v>15</v>
      </c>
      <c r="AR54" s="133">
        <v>88000</v>
      </c>
      <c r="AS54" s="319">
        <f>Таблица_навык_потоковая_компрессия[[#This Row],[опыт]]+AS53</f>
        <v>360000</v>
      </c>
      <c r="AT54" s="272">
        <v>0.06</v>
      </c>
      <c r="AU54" s="333">
        <f>Таблица_навык_потоковая_компрессия[[#This Row],[время сканирования]]+AU53</f>
        <v>0.7300000000000002</v>
      </c>
      <c r="BA54" s="147">
        <v>23</v>
      </c>
      <c r="BB54" s="116">
        <v>3090000</v>
      </c>
      <c r="BC54" s="146">
        <f>Таблица_тренинг_В[[#This Row],[опыт]]+BC53</f>
        <v>11454000</v>
      </c>
      <c r="BD54" s="335">
        <v>0.08</v>
      </c>
      <c r="BE54" s="322">
        <f>Таблица_тренинг_В[[#This Row],[всприятие]]+BE53</f>
        <v>1.8400000000000005</v>
      </c>
      <c r="BF54" s="130"/>
      <c r="BG54" s="195">
        <v>7</v>
      </c>
      <c r="BH54" s="186">
        <v>14000</v>
      </c>
      <c r="BI54" s="187">
        <f>Таблица_навык_торговец[[#This Row],[опыт]]+BI53</f>
        <v>41000</v>
      </c>
      <c r="BJ54" s="186">
        <v>1</v>
      </c>
      <c r="BK54" s="239">
        <f>Таблица_навык_торговец[[#This Row],[кол-во контрактов]]+BK53</f>
        <v>7</v>
      </c>
      <c r="BM54" s="227">
        <v>23</v>
      </c>
      <c r="BN54" s="219">
        <v>3090000</v>
      </c>
      <c r="BO54" s="255">
        <f>Таблица_навык_защитник[[#This Row],[опыт]]+BO53</f>
        <v>11454000</v>
      </c>
      <c r="BP54" s="178"/>
      <c r="BQ54" s="244">
        <f>Таблица_навык_защитник[[#This Row],[сопр. Эфф]]+BQ53</f>
        <v>20</v>
      </c>
      <c r="BR54" s="217"/>
      <c r="BS54" s="244">
        <f>Таблица_навык_защитник[[#This Row],[крит. Защ]]+BS53</f>
        <v>25</v>
      </c>
      <c r="BT54" s="217">
        <v>6</v>
      </c>
      <c r="BU54" s="244">
        <f>Таблица_навык_защитник[[#This Row],[крит. Уклонение]]+BU53</f>
        <v>20</v>
      </c>
      <c r="BV54" s="217"/>
      <c r="BW54" s="244">
        <f>Таблица_навык_защитник[[#This Row],[маскировка]]+BW53</f>
        <v>10</v>
      </c>
      <c r="BX54" s="251"/>
      <c r="BY54" s="252">
        <f>Таблица_навык_защитник[[#This Row],[защита]]+BY53</f>
        <v>0.23</v>
      </c>
    </row>
    <row r="55" spans="1:77" ht="16.5" thickBot="1" x14ac:dyDescent="0.3">
      <c r="A55" s="115">
        <v>19</v>
      </c>
      <c r="B55" s="116">
        <v>381000</v>
      </c>
      <c r="C55" s="128">
        <f>Таблица_навык_урон[[#This Row],[опыт]]+C54</f>
        <v>1534000</v>
      </c>
      <c r="D55" s="262">
        <v>0.03</v>
      </c>
      <c r="E55" s="261">
        <f>Таблица_навык_урон[[#This Row],[урон2]]+E54</f>
        <v>0.82000000000000017</v>
      </c>
      <c r="G55" s="115">
        <v>19</v>
      </c>
      <c r="H55" s="116">
        <v>476000</v>
      </c>
      <c r="I55" s="128">
        <f>Таблица_навык_крит._урон[[#This Row],[опыт]]+I54</f>
        <v>2693000</v>
      </c>
      <c r="J55" s="260">
        <v>0.02</v>
      </c>
      <c r="K55" s="261">
        <f>Таблица_навык_крит._урон[[#This Row],[Крит. Урон2]]+K54</f>
        <v>0.38000000000000006</v>
      </c>
      <c r="Q55" s="115">
        <v>19</v>
      </c>
      <c r="R55" s="116">
        <v>538000</v>
      </c>
      <c r="S55" s="313">
        <f>Таблица_навык_защита[[#This Row],[опыт]]+S54</f>
        <v>2069000</v>
      </c>
      <c r="T55" s="260">
        <v>0.18</v>
      </c>
      <c r="U55" s="261">
        <f>Таблица_навык_защита[[#This Row],[защита2]]+U54</f>
        <v>1.5499999999999996</v>
      </c>
      <c r="W55" s="150">
        <v>19</v>
      </c>
      <c r="X55" s="116">
        <v>476000</v>
      </c>
      <c r="Y55" s="146">
        <f>Таблица_навык_крит._защита[[#This Row],[опыт]]+Y54</f>
        <v>2693000</v>
      </c>
      <c r="Z55" s="268">
        <v>8</v>
      </c>
      <c r="AA55" s="308">
        <f>Таблица_навык_крит._защита[[#This Row],[крит. Защита]]+AA54</f>
        <v>152</v>
      </c>
      <c r="AE55" s="115">
        <v>29</v>
      </c>
      <c r="AF55" s="116">
        <v>2524000</v>
      </c>
      <c r="AG55" s="146">
        <f>Таблица_навык_первая_помощь[[#This Row],[опыт ]]+AG54</f>
        <v>11739000</v>
      </c>
      <c r="AH55" s="260">
        <v>0.1</v>
      </c>
      <c r="AI55" s="261">
        <f>Таблица_навык_первая_помощь[[#This Row],[эфф. Аптечек]]+AI54</f>
        <v>2.1500000000000012</v>
      </c>
      <c r="BA55" s="147">
        <v>24</v>
      </c>
      <c r="BB55" s="116">
        <v>4203000</v>
      </c>
      <c r="BC55" s="146">
        <f>Таблица_тренинг_В[[#This Row],[опыт]]+BC54</f>
        <v>15657000</v>
      </c>
      <c r="BD55" s="335">
        <v>0.08</v>
      </c>
      <c r="BE55" s="322">
        <f>Таблица_тренинг_В[[#This Row],[всприятие]]+BE54</f>
        <v>1.9200000000000006</v>
      </c>
      <c r="BF55" s="130"/>
      <c r="BG55" s="195">
        <v>8</v>
      </c>
      <c r="BH55" s="186">
        <v>19000</v>
      </c>
      <c r="BI55" s="187">
        <f>Таблица_навык_торговец[[#This Row],[опыт]]+BI54</f>
        <v>60000</v>
      </c>
      <c r="BJ55" s="186">
        <v>1</v>
      </c>
      <c r="BK55" s="239">
        <f>Таблица_навык_торговец[[#This Row],[кол-во контрактов]]+BK54</f>
        <v>8</v>
      </c>
      <c r="BM55" s="227">
        <v>24</v>
      </c>
      <c r="BN55" s="219">
        <v>4203000</v>
      </c>
      <c r="BO55" s="255">
        <f>Таблица_навык_защитник[[#This Row],[опыт]]+BO54</f>
        <v>15657000</v>
      </c>
      <c r="BP55" s="178"/>
      <c r="BQ55" s="244">
        <f>Таблица_навык_защитник[[#This Row],[сопр. Эфф]]+BQ54</f>
        <v>20</v>
      </c>
      <c r="BR55" s="217"/>
      <c r="BS55" s="244">
        <f>Таблица_навык_защитник[[#This Row],[крит. Защ]]+BS54</f>
        <v>25</v>
      </c>
      <c r="BT55" s="217"/>
      <c r="BU55" s="244">
        <f>Таблица_навык_защитник[[#This Row],[крит. Уклонение]]+BU54</f>
        <v>20</v>
      </c>
      <c r="BV55" s="217">
        <v>5</v>
      </c>
      <c r="BW55" s="244">
        <f>Таблица_навык_защитник[[#This Row],[маскировка]]+BW54</f>
        <v>15</v>
      </c>
      <c r="BX55" s="251"/>
      <c r="BY55" s="252">
        <f>Таблица_навык_защитник[[#This Row],[защита]]+BY54</f>
        <v>0.23</v>
      </c>
    </row>
    <row r="56" spans="1:77" ht="16.5" thickBot="1" x14ac:dyDescent="0.3">
      <c r="A56" s="115">
        <v>20</v>
      </c>
      <c r="B56" s="116">
        <v>500000</v>
      </c>
      <c r="C56" s="128">
        <f>Таблица_навык_урон[[#This Row],[опыт]]+C55</f>
        <v>2034000</v>
      </c>
      <c r="D56" s="262">
        <v>0.03</v>
      </c>
      <c r="E56" s="261">
        <f>Таблица_навык_урон[[#This Row],[урон2]]+E55</f>
        <v>0.8500000000000002</v>
      </c>
      <c r="G56" s="115">
        <v>20</v>
      </c>
      <c r="H56" s="116">
        <v>569000</v>
      </c>
      <c r="I56" s="128">
        <f>Таблица_навык_крит._урон[[#This Row],[опыт]]+I55</f>
        <v>3262000</v>
      </c>
      <c r="J56" s="260">
        <v>0.02</v>
      </c>
      <c r="K56" s="261">
        <f>Таблица_навык_крит._урон[[#This Row],[Крит. Урон2]]+K55</f>
        <v>0.40000000000000008</v>
      </c>
      <c r="Q56" s="115">
        <v>20</v>
      </c>
      <c r="R56" s="116">
        <v>719000</v>
      </c>
      <c r="S56" s="313">
        <f>Таблица_навык_защита[[#This Row],[опыт]]+S55</f>
        <v>2788000</v>
      </c>
      <c r="T56" s="260">
        <v>0.2</v>
      </c>
      <c r="U56" s="261">
        <f>Таблица_навык_защита[[#This Row],[защита2]]+U55</f>
        <v>1.7499999999999996</v>
      </c>
      <c r="W56" s="150">
        <v>20</v>
      </c>
      <c r="X56" s="116">
        <v>569000</v>
      </c>
      <c r="Y56" s="146">
        <f>Таблица_навык_крит._защита[[#This Row],[опыт]]+Y55</f>
        <v>3262000</v>
      </c>
      <c r="Z56" s="268">
        <v>8</v>
      </c>
      <c r="AA56" s="308">
        <f>Таблица_навык_крит._защита[[#This Row],[крит. Защита]]+AA55</f>
        <v>160</v>
      </c>
      <c r="AE56" s="118">
        <v>30</v>
      </c>
      <c r="AF56" s="119">
        <v>3198000</v>
      </c>
      <c r="AG56" s="274">
        <f>Таблица_навык_первая_помощь[[#This Row],[опыт ]]+AG55</f>
        <v>14937000</v>
      </c>
      <c r="AH56" s="266">
        <v>0.1</v>
      </c>
      <c r="AI56" s="264">
        <f>Таблица_навык_первая_помощь[[#This Row],[эфф. Аптечек]]+AI55</f>
        <v>2.2500000000000013</v>
      </c>
      <c r="AQ56" s="111" t="s">
        <v>142</v>
      </c>
      <c r="AR56" s="112" t="s">
        <v>153</v>
      </c>
      <c r="AS56" s="131" t="s">
        <v>495</v>
      </c>
      <c r="AT56" s="334" t="s">
        <v>143</v>
      </c>
      <c r="AU56" s="259" t="s">
        <v>496</v>
      </c>
      <c r="AV56" s="334" t="s">
        <v>144</v>
      </c>
      <c r="AW56" s="259" t="s">
        <v>499</v>
      </c>
      <c r="BA56" s="148">
        <v>25</v>
      </c>
      <c r="BB56" s="119">
        <v>5709000</v>
      </c>
      <c r="BC56" s="274">
        <f>Таблица_тренинг_В[[#This Row],[опыт]]+BC55</f>
        <v>21366000</v>
      </c>
      <c r="BD56" s="341">
        <v>0.08</v>
      </c>
      <c r="BE56" s="323">
        <f>Таблица_тренинг_В[[#This Row],[всприятие]]+BE55</f>
        <v>2.0000000000000004</v>
      </c>
      <c r="BG56" s="195">
        <v>9</v>
      </c>
      <c r="BH56" s="186">
        <v>27000</v>
      </c>
      <c r="BI56" s="187">
        <f>Таблица_навык_торговец[[#This Row],[опыт]]+BI55</f>
        <v>87000</v>
      </c>
      <c r="BJ56" s="186">
        <v>1</v>
      </c>
      <c r="BK56" s="239">
        <f>Таблица_навык_торговец[[#This Row],[кол-во контрактов]]+BK55</f>
        <v>9</v>
      </c>
      <c r="BM56" s="228">
        <v>25</v>
      </c>
      <c r="BN56" s="229">
        <v>5709000</v>
      </c>
      <c r="BO56" s="255">
        <f>Таблица_навык_защитник[[#This Row],[опыт]]+BO55</f>
        <v>21366000</v>
      </c>
      <c r="BP56" s="180"/>
      <c r="BQ56" s="245">
        <f>Таблица_навык_защитник[[#This Row],[сопр. Эфф]]+BQ55</f>
        <v>20</v>
      </c>
      <c r="BR56" s="218"/>
      <c r="BS56" s="245">
        <f>Таблица_навык_защитник[[#This Row],[крит. Защ]]+BS55</f>
        <v>25</v>
      </c>
      <c r="BT56" s="218"/>
      <c r="BU56" s="245">
        <f>Таблица_навык_защитник[[#This Row],[крит. Уклонение]]+BU55</f>
        <v>20</v>
      </c>
      <c r="BV56" s="218"/>
      <c r="BW56" s="245">
        <f>Таблица_навык_защитник[[#This Row],[маскировка]]+BW55</f>
        <v>15</v>
      </c>
      <c r="BX56" s="253">
        <v>0.12</v>
      </c>
      <c r="BY56" s="254">
        <f>Таблица_навык_защитник[[#This Row],[защита]]+BY55</f>
        <v>0.35</v>
      </c>
    </row>
    <row r="57" spans="1:77" ht="16.5" thickBot="1" x14ac:dyDescent="0.3">
      <c r="A57" s="115">
        <v>21</v>
      </c>
      <c r="B57" s="116">
        <v>658000</v>
      </c>
      <c r="C57" s="128">
        <f>Таблица_навык_урон[[#This Row],[опыт]]+C56</f>
        <v>2692000</v>
      </c>
      <c r="D57" s="262">
        <v>0.03</v>
      </c>
      <c r="E57" s="261">
        <f>Таблица_навык_урон[[#This Row],[урон2]]+E56</f>
        <v>0.88000000000000023</v>
      </c>
      <c r="G57" s="115">
        <v>21</v>
      </c>
      <c r="H57" s="116">
        <v>680000</v>
      </c>
      <c r="I57" s="128">
        <f>Таблица_навык_крит._урон[[#This Row],[опыт]]+I56</f>
        <v>3942000</v>
      </c>
      <c r="J57" s="260">
        <v>0.02</v>
      </c>
      <c r="K57" s="261">
        <f>Таблица_навык_крит._урон[[#This Row],[Крит. Урон2]]+K56</f>
        <v>0.4200000000000001</v>
      </c>
      <c r="Q57" s="115">
        <v>21</v>
      </c>
      <c r="R57" s="116">
        <v>959000</v>
      </c>
      <c r="S57" s="313">
        <f>Таблица_навык_защита[[#This Row],[опыт]]+S56</f>
        <v>3747000</v>
      </c>
      <c r="T57" s="260">
        <v>0.16</v>
      </c>
      <c r="U57" s="261">
        <f>Таблица_навык_защита[[#This Row],[защита2]]+U56</f>
        <v>1.9099999999999995</v>
      </c>
      <c r="W57" s="150">
        <v>21</v>
      </c>
      <c r="X57" s="116">
        <v>680000</v>
      </c>
      <c r="Y57" s="146">
        <f>Таблица_навык_крит._защита[[#This Row],[опыт]]+Y56</f>
        <v>3942000</v>
      </c>
      <c r="Z57" s="268">
        <v>8</v>
      </c>
      <c r="AA57" s="308">
        <f>Таблица_навык_крит._защита[[#This Row],[крит. Защита]]+AA56</f>
        <v>168</v>
      </c>
      <c r="AQ57" s="115">
        <v>0</v>
      </c>
      <c r="AR57" s="132">
        <v>0</v>
      </c>
      <c r="AS57" s="318">
        <v>0</v>
      </c>
      <c r="AT57" s="262"/>
      <c r="AU57" s="322">
        <v>0</v>
      </c>
      <c r="AV57" s="262"/>
      <c r="AW57" s="322">
        <v>0</v>
      </c>
      <c r="BG57" s="197">
        <v>10</v>
      </c>
      <c r="BH57" s="186">
        <v>38000</v>
      </c>
      <c r="BI57" s="187">
        <f>Таблица_навык_торговец[[#This Row],[опыт]]+BI56</f>
        <v>125000</v>
      </c>
      <c r="BJ57" s="186">
        <v>1</v>
      </c>
      <c r="BK57" s="239">
        <f>Таблица_навык_торговец[[#This Row],[кол-во контрактов]]+BK56</f>
        <v>10</v>
      </c>
    </row>
    <row r="58" spans="1:77" x14ac:dyDescent="0.25">
      <c r="A58" s="115">
        <v>22</v>
      </c>
      <c r="B58" s="116">
        <v>861000</v>
      </c>
      <c r="C58" s="128">
        <f>Таблица_навык_урон[[#This Row],[опыт]]+C57</f>
        <v>3553000</v>
      </c>
      <c r="D58" s="262">
        <v>0.03</v>
      </c>
      <c r="E58" s="261">
        <f>Таблица_навык_урон[[#This Row],[урон2]]+E57</f>
        <v>0.91000000000000025</v>
      </c>
      <c r="G58" s="115">
        <v>22</v>
      </c>
      <c r="H58" s="116">
        <v>809000</v>
      </c>
      <c r="I58" s="128">
        <f>Таблица_навык_крит._урон[[#This Row],[опыт]]+I57</f>
        <v>4751000</v>
      </c>
      <c r="J58" s="260">
        <v>0.02</v>
      </c>
      <c r="K58" s="261">
        <f>Таблица_навык_крит._урон[[#This Row],[Крит. Урон2]]+K57</f>
        <v>0.44000000000000011</v>
      </c>
      <c r="Q58" s="115">
        <v>22</v>
      </c>
      <c r="R58" s="116">
        <v>1277000</v>
      </c>
      <c r="S58" s="313">
        <f>Таблица_навык_защита[[#This Row],[опыт]]+S57</f>
        <v>5024000</v>
      </c>
      <c r="T58" s="260">
        <v>0.18</v>
      </c>
      <c r="U58" s="261">
        <f>Таблица_навык_защита[[#This Row],[защита2]]+U57</f>
        <v>2.0899999999999994</v>
      </c>
      <c r="W58" s="150">
        <v>22</v>
      </c>
      <c r="X58" s="116">
        <v>809000</v>
      </c>
      <c r="Y58" s="146">
        <f>Таблица_навык_крит._защита[[#This Row],[опыт]]+Y57</f>
        <v>4751000</v>
      </c>
      <c r="Z58" s="268">
        <v>8</v>
      </c>
      <c r="AA58" s="308">
        <f>Таблица_навык_крит._защита[[#This Row],[крит. Защита]]+AA57</f>
        <v>176</v>
      </c>
      <c r="AE58" s="6" t="s">
        <v>131</v>
      </c>
      <c r="AF58" s="154" t="s">
        <v>153</v>
      </c>
      <c r="AG58" s="131" t="s">
        <v>495</v>
      </c>
      <c r="AH58" s="201" t="s">
        <v>529</v>
      </c>
      <c r="AI58" s="269" t="s">
        <v>496</v>
      </c>
      <c r="AJ58" s="201" t="s">
        <v>530</v>
      </c>
      <c r="AK58" s="259" t="s">
        <v>499</v>
      </c>
      <c r="AL58" s="201" t="s">
        <v>531</v>
      </c>
      <c r="AM58" s="259" t="s">
        <v>534</v>
      </c>
      <c r="AN58" s="201" t="s">
        <v>532</v>
      </c>
      <c r="AO58" s="259" t="s">
        <v>551</v>
      </c>
      <c r="AQ58" s="147">
        <v>1</v>
      </c>
      <c r="AR58" s="132">
        <v>1000</v>
      </c>
      <c r="AS58" s="318">
        <f>Таблица_навык_калибровка[[#This Row],[опыт]]+AS57</f>
        <v>1000</v>
      </c>
      <c r="AT58" s="335">
        <v>0.06</v>
      </c>
      <c r="AU58" s="322">
        <f>Таблица_навык_калибровка[[#This Row],[чувствительность]]+AU57</f>
        <v>0.06</v>
      </c>
      <c r="AV58" s="262"/>
      <c r="AW58" s="322">
        <f>Таблица_навык_калибровка[[#This Row],[радиус]]+AW57</f>
        <v>0</v>
      </c>
      <c r="BA58" s="111" t="s">
        <v>147</v>
      </c>
      <c r="BB58" s="112" t="s">
        <v>153</v>
      </c>
      <c r="BC58" s="339" t="s">
        <v>536</v>
      </c>
      <c r="BD58" s="340" t="s">
        <v>541</v>
      </c>
      <c r="BE58" s="269" t="s">
        <v>495</v>
      </c>
      <c r="BG58" s="197">
        <v>11</v>
      </c>
      <c r="BH58" s="186">
        <v>52000</v>
      </c>
      <c r="BI58" s="187">
        <f>Таблица_навык_торговец[[#This Row],[опыт]]+BI57</f>
        <v>177000</v>
      </c>
      <c r="BJ58" s="186">
        <v>1</v>
      </c>
      <c r="BK58" s="239">
        <f>Таблица_навык_торговец[[#This Row],[кол-во контрактов]]+BK57</f>
        <v>11</v>
      </c>
      <c r="BM58" s="204" t="s">
        <v>169</v>
      </c>
      <c r="BN58" s="205" t="s">
        <v>153</v>
      </c>
      <c r="BO58" s="206" t="s">
        <v>495</v>
      </c>
      <c r="BP58" s="171" t="s">
        <v>170</v>
      </c>
      <c r="BQ58" s="233" t="s">
        <v>496</v>
      </c>
      <c r="BR58" s="171" t="s">
        <v>352</v>
      </c>
      <c r="BS58" s="177" t="s">
        <v>499</v>
      </c>
      <c r="BT58" s="171" t="s">
        <v>558</v>
      </c>
      <c r="BU58" s="177" t="s">
        <v>534</v>
      </c>
      <c r="BV58" s="212" t="s">
        <v>559</v>
      </c>
      <c r="BW58" s="177" t="s">
        <v>551</v>
      </c>
      <c r="BX58" s="171" t="s">
        <v>171</v>
      </c>
      <c r="BY58" s="177" t="s">
        <v>552</v>
      </c>
    </row>
    <row r="59" spans="1:77" x14ac:dyDescent="0.25">
      <c r="A59" s="115">
        <v>23</v>
      </c>
      <c r="B59" s="116">
        <v>1127000</v>
      </c>
      <c r="C59" s="128">
        <f>Таблица_навык_урон[[#This Row],[опыт]]+C58</f>
        <v>4680000</v>
      </c>
      <c r="D59" s="262">
        <v>0.03</v>
      </c>
      <c r="E59" s="261">
        <f>Таблица_навык_урон[[#This Row],[урон2]]+E58</f>
        <v>0.94000000000000028</v>
      </c>
      <c r="G59" s="115">
        <v>23</v>
      </c>
      <c r="H59" s="116">
        <v>963000</v>
      </c>
      <c r="I59" s="128">
        <f>Таблица_навык_крит._урон[[#This Row],[опыт]]+I58</f>
        <v>5714000</v>
      </c>
      <c r="J59" s="260">
        <v>0.02</v>
      </c>
      <c r="K59" s="261">
        <f>Таблица_навык_крит._урон[[#This Row],[Крит. Урон2]]+K58</f>
        <v>0.46000000000000013</v>
      </c>
      <c r="Q59" s="115">
        <v>23</v>
      </c>
      <c r="R59" s="116">
        <v>1699000</v>
      </c>
      <c r="S59" s="313">
        <f>Таблица_навык_защита[[#This Row],[опыт]]+S58</f>
        <v>6723000</v>
      </c>
      <c r="T59" s="260">
        <v>0.18</v>
      </c>
      <c r="U59" s="261">
        <f>Таблица_навык_защита[[#This Row],[защита2]]+U58</f>
        <v>2.2699999999999996</v>
      </c>
      <c r="W59" s="150">
        <v>23</v>
      </c>
      <c r="X59" s="116">
        <v>963000</v>
      </c>
      <c r="Y59" s="146">
        <f>Таблица_навык_крит._защита[[#This Row],[опыт]]+Y58</f>
        <v>5714000</v>
      </c>
      <c r="Z59" s="268">
        <v>8</v>
      </c>
      <c r="AA59" s="308">
        <f>Таблица_навык_крит._защита[[#This Row],[крит. Защита]]+AA58</f>
        <v>184</v>
      </c>
      <c r="AE59" s="115">
        <v>0</v>
      </c>
      <c r="AF59" s="116">
        <v>0</v>
      </c>
      <c r="AG59" s="146">
        <v>0</v>
      </c>
      <c r="AH59" s="268"/>
      <c r="AI59" s="308">
        <v>0</v>
      </c>
      <c r="AJ59" s="268"/>
      <c r="AK59" s="308">
        <v>0</v>
      </c>
      <c r="AL59" s="268"/>
      <c r="AM59" s="322">
        <v>0</v>
      </c>
      <c r="AN59" s="268"/>
      <c r="AO59" s="308">
        <v>0</v>
      </c>
      <c r="AQ59" s="115">
        <v>2</v>
      </c>
      <c r="AR59" s="116">
        <v>2000</v>
      </c>
      <c r="AS59" s="318">
        <f>Таблица_навык_калибровка[[#This Row],[опыт]]+AS58</f>
        <v>3000</v>
      </c>
      <c r="AT59" s="262"/>
      <c r="AU59" s="322">
        <f>Таблица_навык_калибровка[[#This Row],[чувствительность]]+AU58</f>
        <v>0.06</v>
      </c>
      <c r="AV59" s="262">
        <v>0.03</v>
      </c>
      <c r="AW59" s="322">
        <f>Таблица_навык_калибровка[[#This Row],[радиус]]+AW58</f>
        <v>0.03</v>
      </c>
      <c r="BA59" s="115">
        <v>0</v>
      </c>
      <c r="BB59" s="116">
        <v>0</v>
      </c>
      <c r="BC59" s="146">
        <v>0</v>
      </c>
      <c r="BD59" s="262"/>
      <c r="BE59" s="322">
        <v>0</v>
      </c>
      <c r="BG59" s="197">
        <v>12</v>
      </c>
      <c r="BH59" s="186">
        <v>71000</v>
      </c>
      <c r="BI59" s="187">
        <f>Таблица_навык_торговец[[#This Row],[опыт]]+BI58</f>
        <v>248000</v>
      </c>
      <c r="BJ59" s="186">
        <v>1</v>
      </c>
      <c r="BK59" s="239">
        <f>Таблица_навык_торговец[[#This Row],[кол-во контрактов]]+BK58</f>
        <v>12</v>
      </c>
      <c r="BM59" s="227">
        <v>0</v>
      </c>
      <c r="BN59" s="219">
        <v>0</v>
      </c>
      <c r="BO59" s="255">
        <v>0</v>
      </c>
      <c r="BP59" s="172"/>
      <c r="BQ59" s="234">
        <v>0</v>
      </c>
      <c r="BR59" s="251"/>
      <c r="BS59" s="252">
        <v>0</v>
      </c>
      <c r="BT59" s="251"/>
      <c r="BU59" s="252">
        <v>0</v>
      </c>
      <c r="BV59" s="251"/>
      <c r="BW59" s="252">
        <v>0</v>
      </c>
      <c r="BX59" s="251"/>
      <c r="BY59" s="252">
        <v>0</v>
      </c>
    </row>
    <row r="60" spans="1:77" x14ac:dyDescent="0.25">
      <c r="A60" s="115">
        <v>24</v>
      </c>
      <c r="B60" s="116">
        <v>1473000</v>
      </c>
      <c r="C60" s="128">
        <f>Таблица_навык_урон[[#This Row],[опыт]]+C59</f>
        <v>6153000</v>
      </c>
      <c r="D60" s="262">
        <v>0.03</v>
      </c>
      <c r="E60" s="261">
        <f>Таблица_навык_урон[[#This Row],[урон2]]+E59</f>
        <v>0.97000000000000031</v>
      </c>
      <c r="G60" s="115">
        <v>24</v>
      </c>
      <c r="H60" s="116">
        <v>1145000</v>
      </c>
      <c r="I60" s="128">
        <f>Таблица_навык_крит._урон[[#This Row],[опыт]]+I59</f>
        <v>6859000</v>
      </c>
      <c r="J60" s="260">
        <v>0.02</v>
      </c>
      <c r="K60" s="261">
        <f>Таблица_навык_крит._урон[[#This Row],[Крит. Урон2]]+K59</f>
        <v>0.48000000000000015</v>
      </c>
      <c r="Q60" s="115">
        <v>24</v>
      </c>
      <c r="R60" s="116">
        <v>2256000</v>
      </c>
      <c r="S60" s="313">
        <f>Таблица_навык_защита[[#This Row],[опыт]]+S59</f>
        <v>8979000</v>
      </c>
      <c r="T60" s="260">
        <v>0.18</v>
      </c>
      <c r="U60" s="261">
        <f>Таблица_навык_защита[[#This Row],[защита2]]+U59</f>
        <v>2.4499999999999997</v>
      </c>
      <c r="W60" s="150">
        <v>24</v>
      </c>
      <c r="X60" s="116">
        <v>1145000</v>
      </c>
      <c r="Y60" s="146">
        <f>Таблица_навык_крит._защита[[#This Row],[опыт]]+Y59</f>
        <v>6859000</v>
      </c>
      <c r="Z60" s="268">
        <v>8</v>
      </c>
      <c r="AA60" s="308">
        <f>Таблица_навык_крит._защита[[#This Row],[крит. Защита]]+AA59</f>
        <v>192</v>
      </c>
      <c r="AE60" s="115">
        <v>1</v>
      </c>
      <c r="AF60" s="153">
        <v>1000</v>
      </c>
      <c r="AG60" s="146">
        <f>Таблица_навык_допинг[[#This Row],[опыт]]+AG59</f>
        <v>1000</v>
      </c>
      <c r="AH60" s="268">
        <v>-1</v>
      </c>
      <c r="AI60" s="308">
        <f>Таблица_навык_допинг[[#This Row],[ОД на стим]]+AI59</f>
        <v>-1</v>
      </c>
      <c r="AJ60" s="268"/>
      <c r="AK60" s="308">
        <f>+Таблица_навык_допинг[[#This Row],[Интоксикация]]+AK59</f>
        <v>0</v>
      </c>
      <c r="AL60" s="262"/>
      <c r="AM60" s="322">
        <f>Таблица_навык_допинг[[#This Row],[эфф .стим.]]+AM59</f>
        <v>0</v>
      </c>
      <c r="AN60" s="268"/>
      <c r="AO60" s="308">
        <f>Таблица_навык_допинг[[#This Row],[дительность]]+AO59</f>
        <v>0</v>
      </c>
      <c r="AQ60" s="147">
        <v>3</v>
      </c>
      <c r="AR60" s="116">
        <v>3000</v>
      </c>
      <c r="AS60" s="318">
        <f>Таблица_навык_калибровка[[#This Row],[опыт]]+AS59</f>
        <v>6000</v>
      </c>
      <c r="AT60" s="335">
        <v>0.06</v>
      </c>
      <c r="AU60" s="322">
        <f>Таблица_навык_калибровка[[#This Row],[чувствительность]]+AU59</f>
        <v>0.12</v>
      </c>
      <c r="AV60" s="262"/>
      <c r="AW60" s="322">
        <f>Таблица_навык_калибровка[[#This Row],[радиус]]+AW59</f>
        <v>0.03</v>
      </c>
      <c r="BA60" s="115">
        <v>1</v>
      </c>
      <c r="BB60" s="116">
        <v>1000</v>
      </c>
      <c r="BC60" s="146">
        <f>Таблица_тренинг_Л[[#This Row],[опыт]]+BC59</f>
        <v>1000</v>
      </c>
      <c r="BD60" s="262">
        <v>0.08</v>
      </c>
      <c r="BE60" s="322">
        <f>Таблица_тренинг_Л[[#This Row],[ловкость2]]+BE59</f>
        <v>0.08</v>
      </c>
      <c r="BG60" s="197">
        <v>13</v>
      </c>
      <c r="BH60" s="186">
        <v>98000</v>
      </c>
      <c r="BI60" s="187">
        <f>Таблица_навык_торговец[[#This Row],[опыт]]+BI59</f>
        <v>346000</v>
      </c>
      <c r="BJ60" s="186">
        <v>1</v>
      </c>
      <c r="BK60" s="239">
        <f>Таблица_навык_торговец[[#This Row],[кол-во контрактов]]+BK59</f>
        <v>13</v>
      </c>
      <c r="BM60" s="227">
        <v>1</v>
      </c>
      <c r="BN60" s="219">
        <v>1000</v>
      </c>
      <c r="BO60" s="255">
        <f>Таблица_навык_охотник[[#This Row],[опыт]]+BO59</f>
        <v>1000</v>
      </c>
      <c r="BP60" s="172">
        <v>0.03</v>
      </c>
      <c r="BQ60" s="234">
        <f>Таблица_навык_охотник[[#This Row],[скорость]]+BQ59</f>
        <v>0.03</v>
      </c>
      <c r="BR60" s="251"/>
      <c r="BS60" s="252">
        <f>Таблица_навык_охотник[[#This Row],[эфф.апт]]+BS59</f>
        <v>0</v>
      </c>
      <c r="BT60" s="251"/>
      <c r="BU60" s="252">
        <f>Таблица_навык_охотник[[#This Row],[крит.поп. Монстры]]+BU59</f>
        <v>0</v>
      </c>
      <c r="BV60" s="251"/>
      <c r="BW60" s="252">
        <f>Таблица_навык_охотник[[#This Row],[крит.урон по монстрам]]+BW59</f>
        <v>0</v>
      </c>
      <c r="BX60" s="251"/>
      <c r="BY60" s="252">
        <f>Таблица_навык_охотник[[#This Row],[урон по монстрам]]+BY59</f>
        <v>0</v>
      </c>
    </row>
    <row r="61" spans="1:77" x14ac:dyDescent="0.25">
      <c r="A61" s="115">
        <v>25</v>
      </c>
      <c r="B61" s="116">
        <v>1923000</v>
      </c>
      <c r="C61" s="128">
        <f>Таблица_навык_урон[[#This Row],[опыт]]+C60</f>
        <v>8076000</v>
      </c>
      <c r="D61" s="262">
        <v>0.03</v>
      </c>
      <c r="E61" s="261">
        <f>Таблица_навык_урон[[#This Row],[урон2]]+E60</f>
        <v>1.0000000000000002</v>
      </c>
      <c r="G61" s="115">
        <v>25</v>
      </c>
      <c r="H61" s="116">
        <v>1360000</v>
      </c>
      <c r="I61" s="128">
        <f>Таблица_навык_крит._урон[[#This Row],[опыт]]+I60</f>
        <v>8219000</v>
      </c>
      <c r="J61" s="260">
        <v>0.02</v>
      </c>
      <c r="K61" s="261">
        <f>Таблица_навык_крит._урон[[#This Row],[Крит. Урон2]]+K60</f>
        <v>0.50000000000000011</v>
      </c>
      <c r="Q61" s="115">
        <v>25</v>
      </c>
      <c r="R61" s="116">
        <v>2994000</v>
      </c>
      <c r="S61" s="313">
        <f>Таблица_навык_защита[[#This Row],[опыт]]+S60</f>
        <v>11973000</v>
      </c>
      <c r="T61" s="260">
        <v>0.2</v>
      </c>
      <c r="U61" s="261">
        <f>Таблица_навык_защита[[#This Row],[защита2]]+U60</f>
        <v>2.65</v>
      </c>
      <c r="W61" s="150">
        <v>25</v>
      </c>
      <c r="X61" s="116">
        <v>1360000</v>
      </c>
      <c r="Y61" s="146">
        <f>Таблица_навык_крит._защита[[#This Row],[опыт]]+Y60</f>
        <v>8219000</v>
      </c>
      <c r="Z61" s="268">
        <v>8</v>
      </c>
      <c r="AA61" s="308">
        <f>Таблица_навык_крит._защита[[#This Row],[крит. Защита]]+AA60</f>
        <v>200</v>
      </c>
      <c r="AE61" s="115">
        <v>2</v>
      </c>
      <c r="AF61" s="144">
        <v>2000</v>
      </c>
      <c r="AG61" s="146">
        <f>Таблица_навык_допинг[[#This Row],[опыт]]+AG60</f>
        <v>3000</v>
      </c>
      <c r="AH61" s="268"/>
      <c r="AI61" s="308">
        <f>Таблица_навык_допинг[[#This Row],[ОД на стим]]+AI60</f>
        <v>-1</v>
      </c>
      <c r="AJ61" s="268">
        <v>2</v>
      </c>
      <c r="AK61" s="308">
        <f>+Таблица_навык_допинг[[#This Row],[Интоксикация]]+AK60</f>
        <v>2</v>
      </c>
      <c r="AL61" s="262"/>
      <c r="AM61" s="322">
        <f>Таблица_навык_допинг[[#This Row],[эфф .стим.]]+AM60</f>
        <v>0</v>
      </c>
      <c r="AN61" s="268"/>
      <c r="AO61" s="308">
        <f>Таблица_навык_допинг[[#This Row],[дительность]]+AO60</f>
        <v>0</v>
      </c>
      <c r="AQ61" s="115">
        <v>4</v>
      </c>
      <c r="AR61" s="116">
        <v>3000</v>
      </c>
      <c r="AS61" s="318">
        <f>Таблица_навык_калибровка[[#This Row],[опыт]]+AS60</f>
        <v>9000</v>
      </c>
      <c r="AT61" s="262"/>
      <c r="AU61" s="322">
        <f>Таблица_навык_калибровка[[#This Row],[чувствительность]]+AU60</f>
        <v>0.12</v>
      </c>
      <c r="AV61" s="262">
        <v>0.03</v>
      </c>
      <c r="AW61" s="322">
        <f>Таблица_навык_калибровка[[#This Row],[радиус]]+AW60</f>
        <v>0.06</v>
      </c>
      <c r="BA61" s="115">
        <v>2</v>
      </c>
      <c r="BB61" s="116">
        <v>2000</v>
      </c>
      <c r="BC61" s="146">
        <f>Таблица_тренинг_Л[[#This Row],[опыт]]+BC60</f>
        <v>3000</v>
      </c>
      <c r="BD61" s="262">
        <v>0.08</v>
      </c>
      <c r="BE61" s="322">
        <f>Таблица_тренинг_Л[[#This Row],[ловкость2]]+BE60</f>
        <v>0.16</v>
      </c>
      <c r="BG61" s="197">
        <v>14</v>
      </c>
      <c r="BH61" s="186">
        <v>133000</v>
      </c>
      <c r="BI61" s="187">
        <f>Таблица_навык_торговец[[#This Row],[опыт]]+BI60</f>
        <v>479000</v>
      </c>
      <c r="BJ61" s="186">
        <v>1</v>
      </c>
      <c r="BK61" s="239">
        <f>Таблица_навык_торговец[[#This Row],[кол-во контрактов]]+BK60</f>
        <v>14</v>
      </c>
      <c r="BM61" s="227">
        <v>2</v>
      </c>
      <c r="BN61" s="219">
        <v>2000</v>
      </c>
      <c r="BO61" s="255">
        <f>Таблица_навык_охотник[[#This Row],[опыт]]+BO60</f>
        <v>3000</v>
      </c>
      <c r="BP61" s="172"/>
      <c r="BQ61" s="234">
        <f>Таблица_навык_охотник[[#This Row],[скорость]]+BQ60</f>
        <v>0.03</v>
      </c>
      <c r="BR61" s="251">
        <v>0.02</v>
      </c>
      <c r="BS61" s="252">
        <f>Таблица_навык_охотник[[#This Row],[эфф.апт]]+BS60</f>
        <v>0.02</v>
      </c>
      <c r="BT61" s="251"/>
      <c r="BU61" s="252">
        <f>Таблица_навык_охотник[[#This Row],[крит.поп. Монстры]]+BU60</f>
        <v>0</v>
      </c>
      <c r="BV61" s="251"/>
      <c r="BW61" s="252">
        <f>Таблица_навык_охотник[[#This Row],[крит.урон по монстрам]]+BW60</f>
        <v>0</v>
      </c>
      <c r="BX61" s="251"/>
      <c r="BY61" s="252">
        <f>Таблица_навык_охотник[[#This Row],[урон по монстрам]]+BY60</f>
        <v>0</v>
      </c>
    </row>
    <row r="62" spans="1:77" ht="16.5" thickBot="1" x14ac:dyDescent="0.3">
      <c r="A62" s="115">
        <v>26</v>
      </c>
      <c r="B62" s="116">
        <v>2507000</v>
      </c>
      <c r="C62" s="128">
        <f>Таблица_навык_урон[[#This Row],[опыт]]+C61</f>
        <v>10583000</v>
      </c>
      <c r="D62" s="262">
        <v>0.03</v>
      </c>
      <c r="E62" s="261">
        <f>Таблица_навык_урон[[#This Row],[урон2]]+E61</f>
        <v>1.0300000000000002</v>
      </c>
      <c r="G62" s="115">
        <v>26</v>
      </c>
      <c r="H62" s="116">
        <v>1613000</v>
      </c>
      <c r="I62" s="128">
        <f>Таблица_навык_крит._урон[[#This Row],[опыт]]+I61</f>
        <v>9832000</v>
      </c>
      <c r="J62" s="260">
        <v>0.02</v>
      </c>
      <c r="K62" s="261">
        <f>Таблица_навык_крит._урон[[#This Row],[Крит. Урон2]]+K61</f>
        <v>0.52000000000000013</v>
      </c>
      <c r="Q62" s="115">
        <v>26</v>
      </c>
      <c r="R62" s="116">
        <v>3965000</v>
      </c>
      <c r="S62" s="313">
        <f>Таблица_навык_защита[[#This Row],[опыт]]+S61</f>
        <v>15938000</v>
      </c>
      <c r="T62" s="260">
        <v>0.2</v>
      </c>
      <c r="U62" s="261">
        <f>Таблица_навык_защита[[#This Row],[защита2]]+U61</f>
        <v>2.85</v>
      </c>
      <c r="W62" s="150">
        <v>26</v>
      </c>
      <c r="X62" s="116">
        <v>1613000</v>
      </c>
      <c r="Y62" s="146">
        <f>Таблица_навык_крит._защита[[#This Row],[опыт]]+Y61</f>
        <v>9832000</v>
      </c>
      <c r="Z62" s="268">
        <v>8</v>
      </c>
      <c r="AA62" s="308">
        <f>Таблица_навык_крит._защита[[#This Row],[крит. Защита]]+AA61</f>
        <v>208</v>
      </c>
      <c r="AE62" s="115">
        <v>3</v>
      </c>
      <c r="AF62" s="144">
        <v>3000</v>
      </c>
      <c r="AG62" s="146">
        <f>Таблица_навык_допинг[[#This Row],[опыт]]+AG61</f>
        <v>6000</v>
      </c>
      <c r="AH62" s="268">
        <v>-1</v>
      </c>
      <c r="AI62" s="308">
        <f>Таблица_навык_допинг[[#This Row],[ОД на стим]]+AI61</f>
        <v>-2</v>
      </c>
      <c r="AJ62" s="268"/>
      <c r="AK62" s="308">
        <f>+Таблица_навык_допинг[[#This Row],[Интоксикация]]+AK61</f>
        <v>2</v>
      </c>
      <c r="AL62" s="262"/>
      <c r="AM62" s="322">
        <f>Таблица_навык_допинг[[#This Row],[эфф .стим.]]+AM61</f>
        <v>0</v>
      </c>
      <c r="AN62" s="268"/>
      <c r="AO62" s="308">
        <f>Таблица_навык_допинг[[#This Row],[дительность]]+AO61</f>
        <v>0</v>
      </c>
      <c r="AQ62" s="147">
        <v>5</v>
      </c>
      <c r="AR62" s="132">
        <v>5000</v>
      </c>
      <c r="AS62" s="318">
        <f>Таблица_навык_калибровка[[#This Row],[опыт]]+AS61</f>
        <v>14000</v>
      </c>
      <c r="AT62" s="335">
        <v>0.06</v>
      </c>
      <c r="AU62" s="322">
        <f>Таблица_навык_калибровка[[#This Row],[чувствительность]]+AU61</f>
        <v>0.18</v>
      </c>
      <c r="AV62" s="262"/>
      <c r="AW62" s="322">
        <f>Таблица_навык_калибровка[[#This Row],[радиус]]+AW61</f>
        <v>0.06</v>
      </c>
      <c r="BA62" s="115">
        <v>3</v>
      </c>
      <c r="BB62" s="116">
        <v>4000</v>
      </c>
      <c r="BC62" s="146">
        <f>Таблица_тренинг_Л[[#This Row],[опыт]]+BC61</f>
        <v>7000</v>
      </c>
      <c r="BD62" s="262">
        <v>0.08</v>
      </c>
      <c r="BE62" s="322">
        <f>Таблица_тренинг_Л[[#This Row],[ловкость2]]+BE61</f>
        <v>0.24</v>
      </c>
      <c r="BG62" s="200">
        <v>15</v>
      </c>
      <c r="BH62" s="188">
        <v>181000</v>
      </c>
      <c r="BI62" s="189">
        <f>Таблица_навык_торговец[[#This Row],[опыт]]+BI61</f>
        <v>660000</v>
      </c>
      <c r="BJ62" s="188">
        <v>1</v>
      </c>
      <c r="BK62" s="240">
        <f>Таблица_навык_торговец[[#This Row],[кол-во контрактов]]+BK61</f>
        <v>15</v>
      </c>
      <c r="BM62" s="227">
        <v>3</v>
      </c>
      <c r="BN62" s="219">
        <v>4000</v>
      </c>
      <c r="BO62" s="255">
        <f>Таблица_навык_охотник[[#This Row],[опыт]]+BO61</f>
        <v>7000</v>
      </c>
      <c r="BP62" s="172"/>
      <c r="BQ62" s="234">
        <f>Таблица_навык_охотник[[#This Row],[скорость]]+BQ61</f>
        <v>0.03</v>
      </c>
      <c r="BR62" s="251"/>
      <c r="BS62" s="252">
        <f>Таблица_навык_охотник[[#This Row],[эфф.апт]]+BS61</f>
        <v>0.02</v>
      </c>
      <c r="BT62" s="251">
        <v>0.01</v>
      </c>
      <c r="BU62" s="252">
        <f>Таблица_навык_охотник[[#This Row],[крит.поп. Монстры]]+BU61</f>
        <v>0.01</v>
      </c>
      <c r="BV62" s="251"/>
      <c r="BW62" s="252">
        <f>Таблица_навык_охотник[[#This Row],[крит.урон по монстрам]]+BW61</f>
        <v>0</v>
      </c>
      <c r="BX62" s="251"/>
      <c r="BY62" s="252">
        <f>Таблица_навык_охотник[[#This Row],[урон по монстрам]]+BY61</f>
        <v>0</v>
      </c>
    </row>
    <row r="63" spans="1:77" ht="16.5" thickBot="1" x14ac:dyDescent="0.3">
      <c r="A63" s="115">
        <v>27</v>
      </c>
      <c r="B63" s="116">
        <v>3264000</v>
      </c>
      <c r="C63" s="128">
        <f>Таблица_навык_урон[[#This Row],[опыт]]+C62</f>
        <v>13847000</v>
      </c>
      <c r="D63" s="262">
        <v>0.03</v>
      </c>
      <c r="E63" s="261">
        <f>Таблица_навык_урон[[#This Row],[урон2]]+E62</f>
        <v>1.0600000000000003</v>
      </c>
      <c r="G63" s="115">
        <v>27</v>
      </c>
      <c r="H63" s="116">
        <v>1912000</v>
      </c>
      <c r="I63" s="128">
        <f>Таблица_навык_крит._урон[[#This Row],[опыт]]+I62</f>
        <v>11744000</v>
      </c>
      <c r="J63" s="260">
        <v>0.02</v>
      </c>
      <c r="K63" s="261">
        <f>Таблица_навык_крит._урон[[#This Row],[Крит. Урон2]]+K62</f>
        <v>0.54000000000000015</v>
      </c>
      <c r="Q63" s="115">
        <v>27</v>
      </c>
      <c r="R63" s="116">
        <v>5247000</v>
      </c>
      <c r="S63" s="313">
        <f>Таблица_навык_защита[[#This Row],[опыт]]+S62</f>
        <v>21185000</v>
      </c>
      <c r="T63" s="260">
        <v>0.2</v>
      </c>
      <c r="U63" s="261">
        <f>Таблица_навык_защита[[#This Row],[защита2]]+U62</f>
        <v>3.0500000000000003</v>
      </c>
      <c r="W63" s="150">
        <v>27</v>
      </c>
      <c r="X63" s="116">
        <v>1912000</v>
      </c>
      <c r="Y63" s="146">
        <f>Таблица_навык_крит._защита[[#This Row],[опыт]]+Y62</f>
        <v>11744000</v>
      </c>
      <c r="Z63" s="268">
        <v>8</v>
      </c>
      <c r="AA63" s="308">
        <f>Таблица_навык_крит._защита[[#This Row],[крит. Защита]]+AA62</f>
        <v>216</v>
      </c>
      <c r="AE63" s="115">
        <v>4</v>
      </c>
      <c r="AF63" s="144">
        <v>3000</v>
      </c>
      <c r="AG63" s="146">
        <f>Таблица_навык_допинг[[#This Row],[опыт]]+AG62</f>
        <v>9000</v>
      </c>
      <c r="AH63" s="268"/>
      <c r="AI63" s="308">
        <f>Таблица_навык_допинг[[#This Row],[ОД на стим]]+AI62</f>
        <v>-2</v>
      </c>
      <c r="AJ63" s="268"/>
      <c r="AK63" s="308">
        <f>+Таблица_навык_допинг[[#This Row],[Интоксикация]]+AK62</f>
        <v>2</v>
      </c>
      <c r="AL63" s="262">
        <v>0.01</v>
      </c>
      <c r="AM63" s="322">
        <f>Таблица_навык_допинг[[#This Row],[эфф .стим.]]+AM62</f>
        <v>0.01</v>
      </c>
      <c r="AN63" s="268"/>
      <c r="AO63" s="308">
        <f>Таблица_навык_допинг[[#This Row],[дительность]]+AO62</f>
        <v>0</v>
      </c>
      <c r="AQ63" s="115">
        <v>6</v>
      </c>
      <c r="AR63" s="116">
        <v>7000</v>
      </c>
      <c r="AS63" s="318">
        <f>Таблица_навык_калибровка[[#This Row],[опыт]]+AS62</f>
        <v>21000</v>
      </c>
      <c r="AT63" s="262"/>
      <c r="AU63" s="322">
        <f>Таблица_навык_калибровка[[#This Row],[чувствительность]]+AU62</f>
        <v>0.18</v>
      </c>
      <c r="AV63" s="262">
        <v>0.03</v>
      </c>
      <c r="AW63" s="322">
        <f>Таблица_навык_калибровка[[#This Row],[радиус]]+AW62</f>
        <v>0.09</v>
      </c>
      <c r="BA63" s="115">
        <v>4</v>
      </c>
      <c r="BB63" s="116">
        <v>5000</v>
      </c>
      <c r="BC63" s="146">
        <f>Таблица_тренинг_Л[[#This Row],[опыт]]+BC62</f>
        <v>12000</v>
      </c>
      <c r="BD63" s="262">
        <v>0.08</v>
      </c>
      <c r="BE63" s="322">
        <f>Таблица_тренинг_Л[[#This Row],[ловкость2]]+BE62</f>
        <v>0.32</v>
      </c>
      <c r="BM63" s="227">
        <v>4</v>
      </c>
      <c r="BN63" s="219">
        <v>5000</v>
      </c>
      <c r="BO63" s="255">
        <f>Таблица_навык_охотник[[#This Row],[опыт]]+BO62</f>
        <v>12000</v>
      </c>
      <c r="BP63" s="172"/>
      <c r="BQ63" s="234">
        <f>Таблица_навык_охотник[[#This Row],[скорость]]+BQ62</f>
        <v>0.03</v>
      </c>
      <c r="BR63" s="251"/>
      <c r="BS63" s="252">
        <f>Таблица_навык_охотник[[#This Row],[эфф.апт]]+BS62</f>
        <v>0.02</v>
      </c>
      <c r="BT63" s="251"/>
      <c r="BU63" s="252">
        <f>Таблица_навык_охотник[[#This Row],[крит.поп. Монстры]]+BU62</f>
        <v>0.01</v>
      </c>
      <c r="BV63" s="251">
        <v>0.02</v>
      </c>
      <c r="BW63" s="252">
        <f>Таблица_навык_охотник[[#This Row],[крит.урон по монстрам]]+BW62</f>
        <v>0.02</v>
      </c>
      <c r="BX63" s="251"/>
      <c r="BY63" s="252">
        <f>Таблица_навык_охотник[[#This Row],[урон по монстрам]]+BY62</f>
        <v>0</v>
      </c>
    </row>
    <row r="64" spans="1:77" x14ac:dyDescent="0.25">
      <c r="A64" s="115">
        <v>28</v>
      </c>
      <c r="B64" s="116">
        <v>4247000</v>
      </c>
      <c r="C64" s="128">
        <f>Таблица_навык_урон[[#This Row],[опыт]]+C63</f>
        <v>18094000</v>
      </c>
      <c r="D64" s="262">
        <v>0.03</v>
      </c>
      <c r="E64" s="261">
        <f>Таблица_навык_урон[[#This Row],[урон2]]+E63</f>
        <v>1.0900000000000003</v>
      </c>
      <c r="G64" s="115">
        <v>28</v>
      </c>
      <c r="H64" s="116">
        <v>2263000</v>
      </c>
      <c r="I64" s="128">
        <f>Таблица_навык_крит._урон[[#This Row],[опыт]]+I63</f>
        <v>14007000</v>
      </c>
      <c r="J64" s="260">
        <v>0.02</v>
      </c>
      <c r="K64" s="261">
        <f>Таблица_навык_крит._урон[[#This Row],[Крит. Урон2]]+K63</f>
        <v>0.56000000000000016</v>
      </c>
      <c r="Q64" s="115">
        <v>28</v>
      </c>
      <c r="R64" s="116">
        <v>6936000</v>
      </c>
      <c r="S64" s="313">
        <f>Таблица_навык_защита[[#This Row],[опыт]]+S63</f>
        <v>28121000</v>
      </c>
      <c r="T64" s="260">
        <v>0.2</v>
      </c>
      <c r="U64" s="261">
        <f>Таблица_навык_защита[[#This Row],[защита2]]+U63</f>
        <v>3.2500000000000004</v>
      </c>
      <c r="W64" s="150">
        <v>28</v>
      </c>
      <c r="X64" s="116">
        <v>2263000</v>
      </c>
      <c r="Y64" s="146">
        <f>Таблица_навык_крит._защита[[#This Row],[опыт]]+Y63</f>
        <v>14007000</v>
      </c>
      <c r="Z64" s="268">
        <v>8</v>
      </c>
      <c r="AA64" s="308">
        <f>Таблица_навык_крит._защита[[#This Row],[крит. Защита]]+AA63</f>
        <v>224</v>
      </c>
      <c r="AE64" s="115">
        <v>5</v>
      </c>
      <c r="AF64" s="153">
        <v>5000</v>
      </c>
      <c r="AG64" s="146">
        <f>Таблица_навык_допинг[[#This Row],[опыт]]+AG63</f>
        <v>14000</v>
      </c>
      <c r="AH64" s="268">
        <v>-1</v>
      </c>
      <c r="AI64" s="308">
        <f>Таблица_навык_допинг[[#This Row],[ОД на стим]]+AI63</f>
        <v>-3</v>
      </c>
      <c r="AJ64" s="268"/>
      <c r="AK64" s="308">
        <f>+Таблица_навык_допинг[[#This Row],[Интоксикация]]+AK63</f>
        <v>2</v>
      </c>
      <c r="AL64" s="262"/>
      <c r="AM64" s="322">
        <f>Таблица_навык_допинг[[#This Row],[эфф .стим.]]+AM63</f>
        <v>0.01</v>
      </c>
      <c r="AN64" s="268"/>
      <c r="AO64" s="308">
        <f>Таблица_навык_допинг[[#This Row],[дительность]]+AO63</f>
        <v>0</v>
      </c>
      <c r="AQ64" s="147">
        <v>7</v>
      </c>
      <c r="AR64" s="132">
        <v>10000</v>
      </c>
      <c r="AS64" s="318">
        <f>Таблица_навык_калибровка[[#This Row],[опыт]]+AS63</f>
        <v>31000</v>
      </c>
      <c r="AT64" s="335">
        <v>0.06</v>
      </c>
      <c r="AU64" s="322">
        <f>Таблица_навык_калибровка[[#This Row],[чувствительность]]+AU63</f>
        <v>0.24</v>
      </c>
      <c r="AV64" s="262"/>
      <c r="AW64" s="322">
        <f>Таблица_навык_калибровка[[#This Row],[радиус]]+AW63</f>
        <v>0.09</v>
      </c>
      <c r="BA64" s="115">
        <v>5</v>
      </c>
      <c r="BB64" s="116">
        <v>7000</v>
      </c>
      <c r="BC64" s="146">
        <f>Таблица_тренинг_Л[[#This Row],[опыт]]+BC63</f>
        <v>19000</v>
      </c>
      <c r="BD64" s="262">
        <v>0.08</v>
      </c>
      <c r="BE64" s="322">
        <f>Таблица_тренинг_Л[[#This Row],[ловкость2]]+BE63</f>
        <v>0.4</v>
      </c>
      <c r="BG64" s="174" t="s">
        <v>161</v>
      </c>
      <c r="BH64" s="171" t="s">
        <v>153</v>
      </c>
      <c r="BI64" s="177" t="s">
        <v>495</v>
      </c>
      <c r="BJ64" s="213" t="s">
        <v>549</v>
      </c>
      <c r="BK64" s="241" t="s">
        <v>496</v>
      </c>
      <c r="BM64" s="227">
        <v>5</v>
      </c>
      <c r="BN64" s="219">
        <v>7000</v>
      </c>
      <c r="BO64" s="255">
        <f>Таблица_навык_охотник[[#This Row],[опыт]]+BO63</f>
        <v>19000</v>
      </c>
      <c r="BP64" s="172"/>
      <c r="BQ64" s="234">
        <f>Таблица_навык_охотник[[#This Row],[скорость]]+BQ63</f>
        <v>0.03</v>
      </c>
      <c r="BR64" s="251"/>
      <c r="BS64" s="252">
        <f>Таблица_навык_охотник[[#This Row],[эфф.апт]]+BS63</f>
        <v>0.02</v>
      </c>
      <c r="BT64" s="251"/>
      <c r="BU64" s="252">
        <f>Таблица_навык_охотник[[#This Row],[крит.поп. Монстры]]+BU63</f>
        <v>0.01</v>
      </c>
      <c r="BV64" s="251"/>
      <c r="BW64" s="252">
        <f>Таблица_навык_охотник[[#This Row],[крит.урон по монстрам]]+BW63</f>
        <v>0.02</v>
      </c>
      <c r="BX64" s="251">
        <v>0.01</v>
      </c>
      <c r="BY64" s="252">
        <f>Таблица_навык_охотник[[#This Row],[урон по монстрам]]+BY63</f>
        <v>0.01</v>
      </c>
    </row>
    <row r="65" spans="1:77" x14ac:dyDescent="0.25">
      <c r="A65" s="115">
        <v>29</v>
      </c>
      <c r="B65" s="116">
        <v>5519000</v>
      </c>
      <c r="C65" s="128">
        <f>Таблица_навык_урон[[#This Row],[опыт]]+C64</f>
        <v>23613000</v>
      </c>
      <c r="D65" s="262">
        <v>0.03</v>
      </c>
      <c r="E65" s="261">
        <f>Таблица_навык_урон[[#This Row],[урон2]]+E64</f>
        <v>1.1200000000000003</v>
      </c>
      <c r="G65" s="115">
        <v>29</v>
      </c>
      <c r="H65" s="116">
        <v>2679000</v>
      </c>
      <c r="I65" s="128">
        <f>Таблица_навык_крит._урон[[#This Row],[опыт]]+I64</f>
        <v>16686000</v>
      </c>
      <c r="J65" s="260">
        <v>0.02</v>
      </c>
      <c r="K65" s="261">
        <f>Таблица_навык_крит._урон[[#This Row],[Крит. Урон2]]+K64</f>
        <v>0.58000000000000018</v>
      </c>
      <c r="Q65" s="115">
        <v>29</v>
      </c>
      <c r="R65" s="116">
        <v>9160000</v>
      </c>
      <c r="S65" s="313">
        <f>Таблица_навык_защита[[#This Row],[опыт]]+S64</f>
        <v>37281000</v>
      </c>
      <c r="T65" s="260">
        <v>0.2</v>
      </c>
      <c r="U65" s="261">
        <f>Таблица_навык_защита[[#This Row],[защита2]]+U64</f>
        <v>3.4500000000000006</v>
      </c>
      <c r="W65" s="150">
        <v>29</v>
      </c>
      <c r="X65" s="116">
        <v>2679000</v>
      </c>
      <c r="Y65" s="146">
        <f>Таблица_навык_крит._защита[[#This Row],[опыт]]+Y64</f>
        <v>16686000</v>
      </c>
      <c r="Z65" s="268">
        <v>8</v>
      </c>
      <c r="AA65" s="308">
        <f>Таблица_навык_крит._защита[[#This Row],[крит. Защита]]+AA64</f>
        <v>232</v>
      </c>
      <c r="AE65" s="115">
        <v>6</v>
      </c>
      <c r="AF65" s="144">
        <v>7000</v>
      </c>
      <c r="AG65" s="146">
        <f>Таблица_навык_допинг[[#This Row],[опыт]]+AG64</f>
        <v>21000</v>
      </c>
      <c r="AH65" s="268"/>
      <c r="AI65" s="308">
        <f>Таблица_навык_допинг[[#This Row],[ОД на стим]]+AI64</f>
        <v>-3</v>
      </c>
      <c r="AJ65" s="268">
        <v>2</v>
      </c>
      <c r="AK65" s="308">
        <f>+Таблица_навык_допинг[[#This Row],[Интоксикация]]+AK64</f>
        <v>4</v>
      </c>
      <c r="AL65" s="262"/>
      <c r="AM65" s="322">
        <f>Таблица_навык_допинг[[#This Row],[эфф .стим.]]+AM64</f>
        <v>0.01</v>
      </c>
      <c r="AN65" s="268"/>
      <c r="AO65" s="308">
        <f>Таблица_навык_допинг[[#This Row],[дительность]]+AO64</f>
        <v>0</v>
      </c>
      <c r="AQ65" s="115">
        <v>8</v>
      </c>
      <c r="AR65" s="116">
        <v>13000</v>
      </c>
      <c r="AS65" s="318">
        <f>Таблица_навык_калибровка[[#This Row],[опыт]]+AS64</f>
        <v>44000</v>
      </c>
      <c r="AT65" s="262"/>
      <c r="AU65" s="322">
        <f>Таблица_навык_калибровка[[#This Row],[чувствительность]]+AU64</f>
        <v>0.24</v>
      </c>
      <c r="AV65" s="262">
        <v>0.03</v>
      </c>
      <c r="AW65" s="322">
        <f>Таблица_навык_калибровка[[#This Row],[радиус]]+AW64</f>
        <v>0.12</v>
      </c>
      <c r="BA65" s="115">
        <v>6</v>
      </c>
      <c r="BB65" s="116">
        <v>11000</v>
      </c>
      <c r="BC65" s="146">
        <f>Таблица_тренинг_Л[[#This Row],[опыт]]+BC64</f>
        <v>30000</v>
      </c>
      <c r="BD65" s="262">
        <v>0.08</v>
      </c>
      <c r="BE65" s="322">
        <f>Таблица_тренинг_Л[[#This Row],[ловкость2]]+BE64</f>
        <v>0.48000000000000004</v>
      </c>
      <c r="BG65" s="175">
        <v>0</v>
      </c>
      <c r="BH65" s="178">
        <v>0</v>
      </c>
      <c r="BI65" s="179">
        <v>0</v>
      </c>
      <c r="BJ65" s="172"/>
      <c r="BK65" s="242">
        <v>0</v>
      </c>
      <c r="BM65" s="227">
        <v>6</v>
      </c>
      <c r="BN65" s="219">
        <v>11000</v>
      </c>
      <c r="BO65" s="255">
        <f>Таблица_навык_охотник[[#This Row],[опыт]]+BO64</f>
        <v>30000</v>
      </c>
      <c r="BP65" s="172">
        <v>0.04</v>
      </c>
      <c r="BQ65" s="234">
        <f>Таблица_навык_охотник[[#This Row],[скорость]]+BQ64</f>
        <v>7.0000000000000007E-2</v>
      </c>
      <c r="BR65" s="251"/>
      <c r="BS65" s="252">
        <f>Таблица_навык_охотник[[#This Row],[эфф.апт]]+BS64</f>
        <v>0.02</v>
      </c>
      <c r="BT65" s="251"/>
      <c r="BU65" s="252">
        <f>Таблица_навык_охотник[[#This Row],[крит.поп. Монстры]]+BU64</f>
        <v>0.01</v>
      </c>
      <c r="BV65" s="251"/>
      <c r="BW65" s="252">
        <f>Таблица_навык_охотник[[#This Row],[крит.урон по монстрам]]+BW64</f>
        <v>0.02</v>
      </c>
      <c r="BX65" s="251"/>
      <c r="BY65" s="252">
        <f>Таблица_навык_охотник[[#This Row],[урон по монстрам]]+BY64</f>
        <v>0.01</v>
      </c>
    </row>
    <row r="66" spans="1:77" ht="16.5" thickBot="1" x14ac:dyDescent="0.3">
      <c r="A66" s="118">
        <v>30</v>
      </c>
      <c r="B66" s="126">
        <v>7165000</v>
      </c>
      <c r="C66" s="257">
        <f>Таблица_навык_урон[[#This Row],[опыт]]+C65</f>
        <v>30778000</v>
      </c>
      <c r="D66" s="263">
        <v>0.03</v>
      </c>
      <c r="E66" s="264">
        <f>Таблица_навык_урон[[#This Row],[урон2]]+E65</f>
        <v>1.1500000000000004</v>
      </c>
      <c r="G66" s="118">
        <v>30</v>
      </c>
      <c r="H66" s="119">
        <v>3167000</v>
      </c>
      <c r="I66" s="257">
        <f>Таблица_навык_крит._урон[[#This Row],[опыт]]+I65</f>
        <v>19853000</v>
      </c>
      <c r="J66" s="266">
        <v>0.02</v>
      </c>
      <c r="K66" s="264">
        <f>Таблица_навык_крит._урон[[#This Row],[Крит. Урон2]]+K65</f>
        <v>0.6000000000000002</v>
      </c>
      <c r="Q66" s="118">
        <v>30</v>
      </c>
      <c r="R66" s="119">
        <v>12084000</v>
      </c>
      <c r="S66" s="314">
        <f>Таблица_навык_защита[[#This Row],[опыт]]+S65</f>
        <v>49365000</v>
      </c>
      <c r="T66" s="266">
        <v>0.2</v>
      </c>
      <c r="U66" s="264">
        <f>Таблица_навык_защита[[#This Row],[защита2]]+U65</f>
        <v>3.6500000000000008</v>
      </c>
      <c r="W66" s="151">
        <v>30</v>
      </c>
      <c r="X66" s="119">
        <v>3167000</v>
      </c>
      <c r="Y66" s="274">
        <f>Таблица_навык_крит._защита[[#This Row],[опыт]]+Y65</f>
        <v>19853000</v>
      </c>
      <c r="Z66" s="311">
        <v>8</v>
      </c>
      <c r="AA66" s="310">
        <f>Таблица_навык_крит._защита[[#This Row],[крит. Защита]]+AA65</f>
        <v>240</v>
      </c>
      <c r="AE66" s="115">
        <v>7</v>
      </c>
      <c r="AF66" s="153">
        <v>9000</v>
      </c>
      <c r="AG66" s="146">
        <f>Таблица_навык_допинг[[#This Row],[опыт]]+AG65</f>
        <v>30000</v>
      </c>
      <c r="AH66" s="268">
        <v>-1</v>
      </c>
      <c r="AI66" s="308">
        <f>Таблица_навык_допинг[[#This Row],[ОД на стим]]+AI65</f>
        <v>-4</v>
      </c>
      <c r="AJ66" s="268"/>
      <c r="AK66" s="308">
        <f>+Таблица_навык_допинг[[#This Row],[Интоксикация]]+AK65</f>
        <v>4</v>
      </c>
      <c r="AL66" s="262"/>
      <c r="AM66" s="322">
        <f>Таблица_навык_допинг[[#This Row],[эфф .стим.]]+AM65</f>
        <v>0.01</v>
      </c>
      <c r="AN66" s="268"/>
      <c r="AO66" s="308">
        <f>Таблица_навык_допинг[[#This Row],[дительность]]+AO65</f>
        <v>0</v>
      </c>
      <c r="AQ66" s="147">
        <v>9</v>
      </c>
      <c r="AR66" s="132">
        <v>17000</v>
      </c>
      <c r="AS66" s="318">
        <f>Таблица_навык_калибровка[[#This Row],[опыт]]+AS65</f>
        <v>61000</v>
      </c>
      <c r="AT66" s="335">
        <v>0.06</v>
      </c>
      <c r="AU66" s="322">
        <f>Таблица_навык_калибровка[[#This Row],[чувствительность]]+AU65</f>
        <v>0.3</v>
      </c>
      <c r="AV66" s="262"/>
      <c r="AW66" s="322">
        <f>Таблица_навык_калибровка[[#This Row],[радиус]]+AW65</f>
        <v>0.12</v>
      </c>
      <c r="BA66" s="115">
        <v>7</v>
      </c>
      <c r="BB66" s="116">
        <v>16000</v>
      </c>
      <c r="BC66" s="146">
        <f>Таблица_тренинг_Л[[#This Row],[опыт]]+BC65</f>
        <v>46000</v>
      </c>
      <c r="BD66" s="262">
        <v>0.08</v>
      </c>
      <c r="BE66" s="322">
        <f>Таблица_тренинг_Л[[#This Row],[ловкость2]]+BE65</f>
        <v>0.56000000000000005</v>
      </c>
      <c r="BG66" s="175">
        <v>1</v>
      </c>
      <c r="BH66" s="178">
        <v>2000</v>
      </c>
      <c r="BI66" s="179">
        <f>Таблица_навык_производство[[#This Row],[опыт]]+BI65</f>
        <v>2000</v>
      </c>
      <c r="BJ66" s="172">
        <v>-0.04</v>
      </c>
      <c r="BK66" s="242">
        <f>Таблица_навык_производство[[#This Row],[скорость производства]]+BK65</f>
        <v>-0.04</v>
      </c>
      <c r="BM66" s="227">
        <v>7</v>
      </c>
      <c r="BN66" s="219">
        <v>16000</v>
      </c>
      <c r="BO66" s="255">
        <f>Таблица_навык_охотник[[#This Row],[опыт]]+BO65</f>
        <v>46000</v>
      </c>
      <c r="BP66" s="172"/>
      <c r="BQ66" s="234">
        <f>Таблица_навык_охотник[[#This Row],[скорость]]+BQ65</f>
        <v>7.0000000000000007E-2</v>
      </c>
      <c r="BR66" s="251">
        <v>0.03</v>
      </c>
      <c r="BS66" s="252">
        <f>Таблица_навык_охотник[[#This Row],[эфф.апт]]+BS65</f>
        <v>0.05</v>
      </c>
      <c r="BT66" s="251"/>
      <c r="BU66" s="252">
        <f>Таблица_навык_охотник[[#This Row],[крит.поп. Монстры]]+BU65</f>
        <v>0.01</v>
      </c>
      <c r="BV66" s="251"/>
      <c r="BW66" s="252">
        <f>Таблица_навык_охотник[[#This Row],[крит.урон по монстрам]]+BW65</f>
        <v>0.02</v>
      </c>
      <c r="BX66" s="251"/>
      <c r="BY66" s="252">
        <f>Таблица_навык_охотник[[#This Row],[урон по монстрам]]+BY65</f>
        <v>0.01</v>
      </c>
    </row>
    <row r="67" spans="1:77" ht="16.5" thickBot="1" x14ac:dyDescent="0.3">
      <c r="AE67" s="115">
        <v>8</v>
      </c>
      <c r="AF67" s="144">
        <v>12000</v>
      </c>
      <c r="AG67" s="146">
        <f>Таблица_навык_допинг[[#This Row],[опыт]]+AG66</f>
        <v>42000</v>
      </c>
      <c r="AH67" s="268"/>
      <c r="AI67" s="308">
        <f>Таблица_навык_допинг[[#This Row],[ОД на стим]]+AI66</f>
        <v>-4</v>
      </c>
      <c r="AJ67" s="268"/>
      <c r="AK67" s="308">
        <f>+Таблица_навык_допинг[[#This Row],[Интоксикация]]+AK66</f>
        <v>4</v>
      </c>
      <c r="AL67" s="262">
        <v>0.01</v>
      </c>
      <c r="AM67" s="322">
        <f>Таблица_навык_допинг[[#This Row],[эфф .стим.]]+AM66</f>
        <v>0.02</v>
      </c>
      <c r="AN67" s="268"/>
      <c r="AO67" s="308">
        <f>Таблица_навык_допинг[[#This Row],[дительность]]+AO66</f>
        <v>0</v>
      </c>
      <c r="AQ67" s="117">
        <v>10</v>
      </c>
      <c r="AR67" s="116">
        <v>22000</v>
      </c>
      <c r="AS67" s="318">
        <f>Таблица_навык_калибровка[[#This Row],[опыт]]+AS66</f>
        <v>83000</v>
      </c>
      <c r="AT67" s="262"/>
      <c r="AU67" s="322">
        <f>Таблица_навык_калибровка[[#This Row],[чувствительность]]+AU66</f>
        <v>0.3</v>
      </c>
      <c r="AV67" s="262">
        <v>0.03</v>
      </c>
      <c r="AW67" s="322">
        <f>Таблица_навык_калибровка[[#This Row],[радиус]]+AW66</f>
        <v>0.15</v>
      </c>
      <c r="BA67" s="115">
        <v>8</v>
      </c>
      <c r="BB67" s="116">
        <v>23000</v>
      </c>
      <c r="BC67" s="146">
        <f>Таблица_тренинг_Л[[#This Row],[опыт]]+BC66</f>
        <v>69000</v>
      </c>
      <c r="BD67" s="262">
        <v>0.08</v>
      </c>
      <c r="BE67" s="322">
        <f>Таблица_тренинг_Л[[#This Row],[ловкость2]]+BE66</f>
        <v>0.64</v>
      </c>
      <c r="BG67" s="175">
        <v>2</v>
      </c>
      <c r="BH67" s="178">
        <v>4000</v>
      </c>
      <c r="BI67" s="179">
        <f>Таблица_навык_производство[[#This Row],[опыт]]+BI66</f>
        <v>6000</v>
      </c>
      <c r="BJ67" s="172">
        <v>-0.04</v>
      </c>
      <c r="BK67" s="242">
        <f>Таблица_навык_производство[[#This Row],[скорость производства]]+BK66</f>
        <v>-0.08</v>
      </c>
      <c r="BM67" s="227">
        <v>8</v>
      </c>
      <c r="BN67" s="219">
        <v>23000</v>
      </c>
      <c r="BO67" s="255">
        <f>Таблица_навык_охотник[[#This Row],[опыт]]+BO66</f>
        <v>69000</v>
      </c>
      <c r="BP67" s="172"/>
      <c r="BQ67" s="234">
        <f>Таблица_навык_охотник[[#This Row],[скорость]]+BQ66</f>
        <v>7.0000000000000007E-2</v>
      </c>
      <c r="BR67" s="251"/>
      <c r="BS67" s="252">
        <f>Таблица_навык_охотник[[#This Row],[эфф.апт]]+BS66</f>
        <v>0.05</v>
      </c>
      <c r="BT67" s="251">
        <v>0.02</v>
      </c>
      <c r="BU67" s="252">
        <f>Таблица_навык_охотник[[#This Row],[крит.поп. Монстры]]+BU66</f>
        <v>0.03</v>
      </c>
      <c r="BV67" s="251"/>
      <c r="BW67" s="252">
        <f>Таблица_навык_охотник[[#This Row],[крит.урон по монстрам]]+BW66</f>
        <v>0.02</v>
      </c>
      <c r="BX67" s="251"/>
      <c r="BY67" s="252">
        <f>Таблица_навык_охотник[[#This Row],[урон по монстрам]]+BY66</f>
        <v>0.01</v>
      </c>
    </row>
    <row r="68" spans="1:77" x14ac:dyDescent="0.25">
      <c r="A68" s="122" t="s">
        <v>103</v>
      </c>
      <c r="B68" s="112" t="s">
        <v>153</v>
      </c>
      <c r="C68" s="105" t="s">
        <v>495</v>
      </c>
      <c r="D68" s="258" t="s">
        <v>516</v>
      </c>
      <c r="E68" s="105" t="s">
        <v>496</v>
      </c>
      <c r="G68" s="122" t="s">
        <v>104</v>
      </c>
      <c r="H68" s="112" t="s">
        <v>153</v>
      </c>
      <c r="I68" s="105" t="s">
        <v>495</v>
      </c>
      <c r="J68" s="258" t="s">
        <v>517</v>
      </c>
      <c r="K68" s="105" t="s">
        <v>496</v>
      </c>
      <c r="L68" s="110"/>
      <c r="Q68" s="111" t="s">
        <v>0</v>
      </c>
      <c r="R68" s="112" t="s">
        <v>153</v>
      </c>
      <c r="S68" s="131" t="s">
        <v>495</v>
      </c>
      <c r="T68" s="258" t="s">
        <v>527</v>
      </c>
      <c r="U68" s="259" t="s">
        <v>496</v>
      </c>
      <c r="W68" s="149" t="s">
        <v>120</v>
      </c>
      <c r="X68" s="112" t="s">
        <v>153</v>
      </c>
      <c r="Y68" s="131" t="s">
        <v>495</v>
      </c>
      <c r="Z68" s="258" t="s">
        <v>382</v>
      </c>
      <c r="AA68" s="259" t="s">
        <v>496</v>
      </c>
      <c r="AE68" s="115">
        <v>9</v>
      </c>
      <c r="AF68" s="153">
        <v>16000</v>
      </c>
      <c r="AG68" s="146">
        <f>Таблица_навык_допинг[[#This Row],[опыт]]+AG67</f>
        <v>58000</v>
      </c>
      <c r="AH68" s="268">
        <v>-1</v>
      </c>
      <c r="AI68" s="308">
        <f>Таблица_навык_допинг[[#This Row],[ОД на стим]]+AI67</f>
        <v>-5</v>
      </c>
      <c r="AJ68" s="268"/>
      <c r="AK68" s="308">
        <f>+Таблица_навык_допинг[[#This Row],[Интоксикация]]+AK67</f>
        <v>4</v>
      </c>
      <c r="AL68" s="262"/>
      <c r="AM68" s="322">
        <f>Таблица_навык_допинг[[#This Row],[эфф .стим.]]+AM67</f>
        <v>0.02</v>
      </c>
      <c r="AN68" s="268"/>
      <c r="AO68" s="308">
        <f>Таблица_навык_допинг[[#This Row],[дительность]]+AO67</f>
        <v>0</v>
      </c>
      <c r="AQ68" s="159">
        <v>11</v>
      </c>
      <c r="AR68" s="132">
        <v>30000</v>
      </c>
      <c r="AS68" s="318">
        <f>Таблица_навык_калибровка[[#This Row],[опыт]]+AS67</f>
        <v>113000</v>
      </c>
      <c r="AT68" s="335">
        <v>0.06</v>
      </c>
      <c r="AU68" s="322">
        <f>Таблица_навык_калибровка[[#This Row],[чувствительность]]+AU67</f>
        <v>0.36</v>
      </c>
      <c r="AV68" s="262"/>
      <c r="AW68" s="322">
        <f>Таблица_навык_калибровка[[#This Row],[радиус]]+AW67</f>
        <v>0.15</v>
      </c>
      <c r="BA68" s="115">
        <v>9</v>
      </c>
      <c r="BB68" s="116">
        <v>33000</v>
      </c>
      <c r="BC68" s="146">
        <f>Таблица_тренинг_Л[[#This Row],[опыт]]+BC67</f>
        <v>102000</v>
      </c>
      <c r="BD68" s="262">
        <v>0.08</v>
      </c>
      <c r="BE68" s="322">
        <f>Таблица_тренинг_Л[[#This Row],[ловкость2]]+BE67</f>
        <v>0.72</v>
      </c>
      <c r="BG68" s="175">
        <v>3</v>
      </c>
      <c r="BH68" s="178">
        <v>6000</v>
      </c>
      <c r="BI68" s="179">
        <f>Таблица_навык_производство[[#This Row],[опыт]]+BI67</f>
        <v>12000</v>
      </c>
      <c r="BJ68" s="172">
        <v>-0.04</v>
      </c>
      <c r="BK68" s="242">
        <f>Таблица_навык_производство[[#This Row],[скорость производства]]+BK67</f>
        <v>-0.12</v>
      </c>
      <c r="BM68" s="227">
        <v>9</v>
      </c>
      <c r="BN68" s="219">
        <v>33000</v>
      </c>
      <c r="BO68" s="255">
        <f>Таблица_навык_охотник[[#This Row],[опыт]]+BO67</f>
        <v>102000</v>
      </c>
      <c r="BP68" s="172"/>
      <c r="BQ68" s="234">
        <f>Таблица_навык_охотник[[#This Row],[скорость]]+BQ67</f>
        <v>7.0000000000000007E-2</v>
      </c>
      <c r="BR68" s="251"/>
      <c r="BS68" s="252">
        <f>Таблица_навык_охотник[[#This Row],[эфф.апт]]+BS67</f>
        <v>0.05</v>
      </c>
      <c r="BT68" s="251"/>
      <c r="BU68" s="252">
        <f>Таблица_навык_охотник[[#This Row],[крит.поп. Монстры]]+BU67</f>
        <v>0.03</v>
      </c>
      <c r="BV68" s="251">
        <v>0.03</v>
      </c>
      <c r="BW68" s="252">
        <f>Таблица_навык_охотник[[#This Row],[крит.урон по монстрам]]+BW67</f>
        <v>0.05</v>
      </c>
      <c r="BX68" s="251"/>
      <c r="BY68" s="252">
        <f>Таблица_навык_охотник[[#This Row],[урон по монстрам]]+BY67</f>
        <v>0.01</v>
      </c>
    </row>
    <row r="69" spans="1:77" x14ac:dyDescent="0.25">
      <c r="A69" s="124">
        <v>0</v>
      </c>
      <c r="B69" s="125">
        <v>0</v>
      </c>
      <c r="C69" s="127">
        <v>0</v>
      </c>
      <c r="D69" s="267">
        <v>0</v>
      </c>
      <c r="E69" s="261">
        <v>0</v>
      </c>
      <c r="G69" s="115">
        <v>0</v>
      </c>
      <c r="H69" s="116">
        <v>0</v>
      </c>
      <c r="I69" s="128">
        <v>0</v>
      </c>
      <c r="J69" s="268">
        <v>0</v>
      </c>
      <c r="K69" s="261">
        <v>0</v>
      </c>
      <c r="L69" s="110"/>
      <c r="Q69" s="115">
        <v>0</v>
      </c>
      <c r="R69" s="116">
        <v>0</v>
      </c>
      <c r="S69" s="146">
        <v>0</v>
      </c>
      <c r="T69" s="268"/>
      <c r="U69" s="302">
        <v>0</v>
      </c>
      <c r="W69" s="150">
        <v>0</v>
      </c>
      <c r="X69" s="116">
        <v>0</v>
      </c>
      <c r="Y69" s="146">
        <v>0</v>
      </c>
      <c r="Z69" s="268">
        <v>0</v>
      </c>
      <c r="AA69" s="308">
        <v>0</v>
      </c>
      <c r="AE69" s="115">
        <v>10</v>
      </c>
      <c r="AF69" s="144">
        <v>21000</v>
      </c>
      <c r="AG69" s="146">
        <f>Таблица_навык_допинг[[#This Row],[опыт]]+AG68</f>
        <v>79000</v>
      </c>
      <c r="AH69" s="268"/>
      <c r="AI69" s="308">
        <f>Таблица_навык_допинг[[#This Row],[ОД на стим]]+AI68</f>
        <v>-5</v>
      </c>
      <c r="AJ69" s="268">
        <v>2</v>
      </c>
      <c r="AK69" s="308">
        <f>+Таблица_навык_допинг[[#This Row],[Интоксикация]]+AK68</f>
        <v>6</v>
      </c>
      <c r="AL69" s="262"/>
      <c r="AM69" s="322">
        <f>Таблица_навык_допинг[[#This Row],[эфф .стим.]]+AM68</f>
        <v>0.02</v>
      </c>
      <c r="AN69" s="268"/>
      <c r="AO69" s="308">
        <f>Таблица_навык_допинг[[#This Row],[дительность]]+AO68</f>
        <v>0</v>
      </c>
      <c r="AQ69" s="117">
        <v>12</v>
      </c>
      <c r="AR69" s="116">
        <v>40000</v>
      </c>
      <c r="AS69" s="318">
        <f>Таблица_навык_калибровка[[#This Row],[опыт]]+AS68</f>
        <v>153000</v>
      </c>
      <c r="AT69" s="262"/>
      <c r="AU69" s="322">
        <f>Таблица_навык_калибровка[[#This Row],[чувствительность]]+AU68</f>
        <v>0.36</v>
      </c>
      <c r="AV69" s="262">
        <v>0.03</v>
      </c>
      <c r="AW69" s="322">
        <f>Таблица_навык_калибровка[[#This Row],[радиус]]+AW68</f>
        <v>0.18</v>
      </c>
      <c r="BA69" s="115">
        <v>10</v>
      </c>
      <c r="BB69" s="116">
        <v>47000</v>
      </c>
      <c r="BC69" s="146">
        <f>Таблица_тренинг_Л[[#This Row],[опыт]]+BC68</f>
        <v>149000</v>
      </c>
      <c r="BD69" s="262">
        <v>0.08</v>
      </c>
      <c r="BE69" s="322">
        <f>Таблица_тренинг_Л[[#This Row],[ловкость2]]+BE68</f>
        <v>0.79999999999999993</v>
      </c>
      <c r="BG69" s="175">
        <v>4</v>
      </c>
      <c r="BH69" s="178">
        <v>9000</v>
      </c>
      <c r="BI69" s="179">
        <f>Таблица_навык_производство[[#This Row],[опыт]]+BI68</f>
        <v>21000</v>
      </c>
      <c r="BJ69" s="172">
        <v>-0.04</v>
      </c>
      <c r="BK69" s="242">
        <f>Таблица_навык_производство[[#This Row],[скорость производства]]+BK68</f>
        <v>-0.16</v>
      </c>
      <c r="BM69" s="227">
        <v>10</v>
      </c>
      <c r="BN69" s="219">
        <v>47000</v>
      </c>
      <c r="BO69" s="255">
        <f>Таблица_навык_охотник[[#This Row],[опыт]]+BO68</f>
        <v>149000</v>
      </c>
      <c r="BP69" s="172"/>
      <c r="BQ69" s="234">
        <f>Таблица_навык_охотник[[#This Row],[скорость]]+BQ68</f>
        <v>7.0000000000000007E-2</v>
      </c>
      <c r="BR69" s="251"/>
      <c r="BS69" s="252">
        <f>Таблица_навык_охотник[[#This Row],[эфф.апт]]+BS68</f>
        <v>0.05</v>
      </c>
      <c r="BT69" s="251"/>
      <c r="BU69" s="252">
        <f>Таблица_навык_охотник[[#This Row],[крит.поп. Монстры]]+BU68</f>
        <v>0.03</v>
      </c>
      <c r="BV69" s="251"/>
      <c r="BW69" s="252">
        <f>Таблица_навык_охотник[[#This Row],[крит.урон по монстрам]]+BW68</f>
        <v>0.05</v>
      </c>
      <c r="BX69" s="251">
        <v>0.02</v>
      </c>
      <c r="BY69" s="252">
        <f>Таблица_навык_охотник[[#This Row],[урон по монстрам]]+BY68</f>
        <v>0.03</v>
      </c>
    </row>
    <row r="70" spans="1:77" x14ac:dyDescent="0.25">
      <c r="A70" s="115">
        <v>1</v>
      </c>
      <c r="B70" s="116">
        <v>1000</v>
      </c>
      <c r="C70" s="128">
        <f>Таблица_навык_точность[[#This Row],[опыт]]+C69</f>
        <v>1000</v>
      </c>
      <c r="D70" s="260">
        <v>0.03</v>
      </c>
      <c r="E70" s="261">
        <f>Таблица_навык_точность[[#This Row],[точность ]]+E69</f>
        <v>0.03</v>
      </c>
      <c r="G70" s="115">
        <v>1</v>
      </c>
      <c r="H70" s="116">
        <v>1000</v>
      </c>
      <c r="I70" s="128">
        <f>Таблица_навык_крит._попадание[[#This Row],[опыт]]+I69</f>
        <v>1000</v>
      </c>
      <c r="J70" s="262">
        <v>0.05</v>
      </c>
      <c r="K70" s="261">
        <f>Таблица_навык_крит._попадание[[#This Row],[крит. Попадание]]+K69</f>
        <v>0.05</v>
      </c>
      <c r="Q70" s="115">
        <v>1</v>
      </c>
      <c r="R70" s="116">
        <v>1000</v>
      </c>
      <c r="S70" s="146">
        <f>Таблица_навык_маскировка[[#This Row],[опыт]]+S69</f>
        <v>1000</v>
      </c>
      <c r="T70" s="268">
        <v>2</v>
      </c>
      <c r="U70" s="302">
        <f>Таблица_навык_маскировка[[#This Row],[маскировка2]]+U69</f>
        <v>2</v>
      </c>
      <c r="W70" s="150">
        <v>1</v>
      </c>
      <c r="X70" s="116">
        <v>1000</v>
      </c>
      <c r="Y70" s="146">
        <f>Таблица_навык_крит._уклонение[[#This Row],[опыт]]+Y69</f>
        <v>1000</v>
      </c>
      <c r="Z70" s="268">
        <v>4</v>
      </c>
      <c r="AA70" s="308">
        <f>Таблица_навык_крит._уклонение[[#This Row],[крит.уклонение2]]+AA69</f>
        <v>4</v>
      </c>
      <c r="AE70" s="115">
        <v>11</v>
      </c>
      <c r="AF70" s="153">
        <v>28000</v>
      </c>
      <c r="AG70" s="146">
        <f>Таблица_навык_допинг[[#This Row],[опыт]]+AG69</f>
        <v>107000</v>
      </c>
      <c r="AH70" s="268"/>
      <c r="AI70" s="308">
        <f>Таблица_навык_допинг[[#This Row],[ОД на стим]]+AI69</f>
        <v>-5</v>
      </c>
      <c r="AJ70" s="268"/>
      <c r="AK70" s="308">
        <f>+Таблица_навык_допинг[[#This Row],[Интоксикация]]+AK69</f>
        <v>6</v>
      </c>
      <c r="AL70" s="262">
        <v>0.01</v>
      </c>
      <c r="AM70" s="322">
        <f>Таблица_навык_допинг[[#This Row],[эфф .стим.]]+AM69</f>
        <v>0.03</v>
      </c>
      <c r="AN70" s="268"/>
      <c r="AO70" s="308">
        <f>Таблица_навык_допинг[[#This Row],[дительность]]+AO69</f>
        <v>0</v>
      </c>
      <c r="AQ70" s="159">
        <v>13</v>
      </c>
      <c r="AR70" s="132">
        <v>51000</v>
      </c>
      <c r="AS70" s="318">
        <f>Таблица_навык_калибровка[[#This Row],[опыт]]+AS69</f>
        <v>204000</v>
      </c>
      <c r="AT70" s="335">
        <v>7.0000000000000007E-2</v>
      </c>
      <c r="AU70" s="322">
        <f>Таблица_навык_калибровка[[#This Row],[чувствительность]]+AU69</f>
        <v>0.43</v>
      </c>
      <c r="AV70" s="262"/>
      <c r="AW70" s="322">
        <f>Таблица_навык_калибровка[[#This Row],[радиус]]+AW69</f>
        <v>0.18</v>
      </c>
      <c r="BA70" s="115">
        <v>11</v>
      </c>
      <c r="BB70" s="116">
        <v>65000</v>
      </c>
      <c r="BC70" s="146">
        <f>Таблица_тренинг_Л[[#This Row],[опыт]]+BC69</f>
        <v>214000</v>
      </c>
      <c r="BD70" s="262">
        <v>0.08</v>
      </c>
      <c r="BE70" s="322">
        <f>Таблица_тренинг_Л[[#This Row],[ловкость2]]+BE69</f>
        <v>0.87999999999999989</v>
      </c>
      <c r="BG70" s="175">
        <v>5</v>
      </c>
      <c r="BH70" s="178">
        <v>14000</v>
      </c>
      <c r="BI70" s="179">
        <f>Таблица_навык_производство[[#This Row],[опыт]]+BI69</f>
        <v>35000</v>
      </c>
      <c r="BJ70" s="172">
        <v>-0.04</v>
      </c>
      <c r="BK70" s="242">
        <f>Таблица_навык_производство[[#This Row],[скорость производства]]+BK69</f>
        <v>-0.2</v>
      </c>
      <c r="BM70" s="227">
        <v>11</v>
      </c>
      <c r="BN70" s="219">
        <v>65000</v>
      </c>
      <c r="BO70" s="255">
        <f>Таблица_навык_охотник[[#This Row],[опыт]]+BO69</f>
        <v>214000</v>
      </c>
      <c r="BP70" s="172">
        <v>0.05</v>
      </c>
      <c r="BQ70" s="234">
        <f>Таблица_навык_охотник[[#This Row],[скорость]]+BQ69</f>
        <v>0.12000000000000001</v>
      </c>
      <c r="BR70" s="251"/>
      <c r="BS70" s="252">
        <f>Таблица_навык_охотник[[#This Row],[эфф.апт]]+BS69</f>
        <v>0.05</v>
      </c>
      <c r="BT70" s="251"/>
      <c r="BU70" s="252">
        <f>Таблица_навык_охотник[[#This Row],[крит.поп. Монстры]]+BU69</f>
        <v>0.03</v>
      </c>
      <c r="BV70" s="251"/>
      <c r="BW70" s="252">
        <f>Таблица_навык_охотник[[#This Row],[крит.урон по монстрам]]+BW69</f>
        <v>0.05</v>
      </c>
      <c r="BX70" s="251"/>
      <c r="BY70" s="252">
        <f>Таблица_навык_охотник[[#This Row],[урон по монстрам]]+BY69</f>
        <v>0.03</v>
      </c>
    </row>
    <row r="71" spans="1:77" x14ac:dyDescent="0.25">
      <c r="A71" s="115">
        <v>2</v>
      </c>
      <c r="B71" s="116">
        <v>2000</v>
      </c>
      <c r="C71" s="128">
        <f>Таблица_навык_точность[[#This Row],[опыт]]+C70</f>
        <v>3000</v>
      </c>
      <c r="D71" s="260">
        <v>0.03</v>
      </c>
      <c r="E71" s="261">
        <f>Таблица_навык_точность[[#This Row],[точность ]]+E70</f>
        <v>0.06</v>
      </c>
      <c r="G71" s="115">
        <v>2</v>
      </c>
      <c r="H71" s="116">
        <v>14000</v>
      </c>
      <c r="I71" s="128">
        <f>Таблица_навык_крит._попадание[[#This Row],[опыт]]+I70</f>
        <v>15000</v>
      </c>
      <c r="J71" s="262">
        <v>0.05</v>
      </c>
      <c r="K71" s="261">
        <f>Таблица_навык_крит._попадание[[#This Row],[крит. Попадание]]+K70</f>
        <v>0.1</v>
      </c>
      <c r="Q71" s="115">
        <v>2</v>
      </c>
      <c r="R71" s="116">
        <v>2000</v>
      </c>
      <c r="S71" s="146">
        <f>Таблица_навык_маскировка[[#This Row],[опыт]]+S70</f>
        <v>3000</v>
      </c>
      <c r="T71" s="268">
        <v>2</v>
      </c>
      <c r="U71" s="302">
        <f>Таблица_навык_маскировка[[#This Row],[маскировка2]]+U70</f>
        <v>4</v>
      </c>
      <c r="W71" s="150">
        <v>2</v>
      </c>
      <c r="X71" s="116">
        <v>14000</v>
      </c>
      <c r="Y71" s="146">
        <f>Таблица_навык_крит._уклонение[[#This Row],[опыт]]+Y70</f>
        <v>15000</v>
      </c>
      <c r="Z71" s="268">
        <v>4</v>
      </c>
      <c r="AA71" s="308">
        <f>Таблица_навык_крит._уклонение[[#This Row],[крит.уклонение2]]+AA70</f>
        <v>8</v>
      </c>
      <c r="AE71" s="115">
        <v>12</v>
      </c>
      <c r="AF71" s="144">
        <v>37000</v>
      </c>
      <c r="AG71" s="146">
        <f>Таблица_навык_допинг[[#This Row],[опыт]]+AG70</f>
        <v>144000</v>
      </c>
      <c r="AH71" s="268"/>
      <c r="AI71" s="308">
        <f>Таблица_навык_допинг[[#This Row],[ОД на стим]]+AI70</f>
        <v>-5</v>
      </c>
      <c r="AJ71" s="268">
        <v>2</v>
      </c>
      <c r="AK71" s="308">
        <f>+Таблица_навык_допинг[[#This Row],[Интоксикация]]+AK70</f>
        <v>8</v>
      </c>
      <c r="AL71" s="262"/>
      <c r="AM71" s="322">
        <f>Таблица_навык_допинг[[#This Row],[эфф .стим.]]+AM70</f>
        <v>0.03</v>
      </c>
      <c r="AN71" s="268"/>
      <c r="AO71" s="308">
        <f>Таблица_навык_допинг[[#This Row],[дительность]]+AO70</f>
        <v>0</v>
      </c>
      <c r="AQ71" s="117">
        <v>14</v>
      </c>
      <c r="AR71" s="116">
        <v>68000</v>
      </c>
      <c r="AS71" s="318">
        <f>Таблица_навык_калибровка[[#This Row],[опыт]]+AS70</f>
        <v>272000</v>
      </c>
      <c r="AT71" s="262"/>
      <c r="AU71" s="322">
        <f>Таблица_навык_калибровка[[#This Row],[чувствительность]]+AU70</f>
        <v>0.43</v>
      </c>
      <c r="AV71" s="262">
        <v>0.03</v>
      </c>
      <c r="AW71" s="322">
        <f>Таблица_навык_калибровка[[#This Row],[радиус]]+AW70</f>
        <v>0.21</v>
      </c>
      <c r="BA71" s="115">
        <v>12</v>
      </c>
      <c r="BB71" s="116">
        <v>93000</v>
      </c>
      <c r="BC71" s="146">
        <f>Таблица_тренинг_Л[[#This Row],[опыт]]+BC70</f>
        <v>307000</v>
      </c>
      <c r="BD71" s="262">
        <v>0.08</v>
      </c>
      <c r="BE71" s="322">
        <f>Таблица_тренинг_Л[[#This Row],[ловкость2]]+BE70</f>
        <v>0.95999999999999985</v>
      </c>
      <c r="BG71" s="175">
        <v>6</v>
      </c>
      <c r="BH71" s="178">
        <v>19000</v>
      </c>
      <c r="BI71" s="179">
        <f>Таблица_навык_производство[[#This Row],[опыт]]+BI70</f>
        <v>54000</v>
      </c>
      <c r="BJ71" s="172">
        <v>-0.04</v>
      </c>
      <c r="BK71" s="242">
        <f>Таблица_навык_производство[[#This Row],[скорость производства]]+BK70</f>
        <v>-0.24000000000000002</v>
      </c>
      <c r="BM71" s="227">
        <v>12</v>
      </c>
      <c r="BN71" s="219">
        <v>93000</v>
      </c>
      <c r="BO71" s="255">
        <f>Таблица_навык_охотник[[#This Row],[опыт]]+BO70</f>
        <v>307000</v>
      </c>
      <c r="BP71" s="172"/>
      <c r="BQ71" s="234">
        <f>Таблица_навык_охотник[[#This Row],[скорость]]+BQ70</f>
        <v>0.12000000000000001</v>
      </c>
      <c r="BR71" s="251">
        <v>0.04</v>
      </c>
      <c r="BS71" s="252">
        <f>Таблица_навык_охотник[[#This Row],[эфф.апт]]+BS70</f>
        <v>0.09</v>
      </c>
      <c r="BT71" s="251"/>
      <c r="BU71" s="252">
        <f>Таблица_навык_охотник[[#This Row],[крит.поп. Монстры]]+BU70</f>
        <v>0.03</v>
      </c>
      <c r="BV71" s="251"/>
      <c r="BW71" s="252">
        <f>Таблица_навык_охотник[[#This Row],[крит.урон по монстрам]]+BW70</f>
        <v>0.05</v>
      </c>
      <c r="BX71" s="251"/>
      <c r="BY71" s="252">
        <f>Таблица_навык_охотник[[#This Row],[урон по монстрам]]+BY70</f>
        <v>0.03</v>
      </c>
    </row>
    <row r="72" spans="1:77" ht="16.5" thickBot="1" x14ac:dyDescent="0.3">
      <c r="A72" s="115">
        <v>3</v>
      </c>
      <c r="B72" s="116">
        <v>3000</v>
      </c>
      <c r="C72" s="128">
        <f>Таблица_навык_точность[[#This Row],[опыт]]+C71</f>
        <v>6000</v>
      </c>
      <c r="D72" s="260">
        <v>0.03</v>
      </c>
      <c r="E72" s="261">
        <f>Таблица_навык_точность[[#This Row],[точность ]]+E71</f>
        <v>0.09</v>
      </c>
      <c r="G72" s="115">
        <v>3</v>
      </c>
      <c r="H72" s="116">
        <v>20000</v>
      </c>
      <c r="I72" s="128">
        <f>Таблица_навык_крит._попадание[[#This Row],[опыт]]+I71</f>
        <v>35000</v>
      </c>
      <c r="J72" s="262">
        <v>0.05</v>
      </c>
      <c r="K72" s="261">
        <f>Таблица_навык_крит._попадание[[#This Row],[крит. Попадание]]+K71</f>
        <v>0.15000000000000002</v>
      </c>
      <c r="Q72" s="115">
        <v>3</v>
      </c>
      <c r="R72" s="116">
        <v>3000</v>
      </c>
      <c r="S72" s="146">
        <f>Таблица_навык_маскировка[[#This Row],[опыт]]+S71</f>
        <v>6000</v>
      </c>
      <c r="T72" s="268">
        <v>2</v>
      </c>
      <c r="U72" s="302">
        <f>Таблица_навык_маскировка[[#This Row],[маскировка2]]+U71</f>
        <v>6</v>
      </c>
      <c r="W72" s="150">
        <v>3</v>
      </c>
      <c r="X72" s="116">
        <v>20000</v>
      </c>
      <c r="Y72" s="146">
        <f>Таблица_навык_крит._уклонение[[#This Row],[опыт]]+Y71</f>
        <v>35000</v>
      </c>
      <c r="Z72" s="268">
        <v>4</v>
      </c>
      <c r="AA72" s="308">
        <f>Таблица_навык_крит._уклонение[[#This Row],[крит.уклонение2]]+AA71</f>
        <v>12</v>
      </c>
      <c r="AE72" s="115">
        <v>13</v>
      </c>
      <c r="AF72" s="153">
        <v>48000</v>
      </c>
      <c r="AG72" s="146">
        <f>Таблица_навык_допинг[[#This Row],[опыт]]+AG71</f>
        <v>192000</v>
      </c>
      <c r="AH72" s="268"/>
      <c r="AI72" s="308">
        <f>Таблица_навык_допинг[[#This Row],[ОД на стим]]+AI71</f>
        <v>-5</v>
      </c>
      <c r="AJ72" s="268"/>
      <c r="AK72" s="308">
        <f>+Таблица_навык_допинг[[#This Row],[Интоксикация]]+AK71</f>
        <v>8</v>
      </c>
      <c r="AL72" s="262">
        <v>0.01</v>
      </c>
      <c r="AM72" s="322">
        <f>Таблица_навык_допинг[[#This Row],[эфф .стим.]]+AM71</f>
        <v>0.04</v>
      </c>
      <c r="AN72" s="268"/>
      <c r="AO72" s="308">
        <f>Таблица_навык_допинг[[#This Row],[дительность]]+AO71</f>
        <v>0</v>
      </c>
      <c r="AQ72" s="148">
        <v>15</v>
      </c>
      <c r="AR72" s="133">
        <v>88000</v>
      </c>
      <c r="AS72" s="319">
        <f>Таблица_навык_калибровка[[#This Row],[опыт]]+AS71</f>
        <v>360000</v>
      </c>
      <c r="AT72" s="263">
        <v>7.0000000000000007E-2</v>
      </c>
      <c r="AU72" s="323">
        <f>Таблица_навык_калибровка[[#This Row],[чувствительность]]+AU71</f>
        <v>0.5</v>
      </c>
      <c r="AV72" s="263"/>
      <c r="AW72" s="323">
        <f>Таблица_навык_калибровка[[#This Row],[радиус]]+AW71</f>
        <v>0.21</v>
      </c>
      <c r="BA72" s="115">
        <v>13</v>
      </c>
      <c r="BB72" s="116">
        <v>128000</v>
      </c>
      <c r="BC72" s="146">
        <f>Таблица_тренинг_Л[[#This Row],[опыт]]+BC71</f>
        <v>435000</v>
      </c>
      <c r="BD72" s="262">
        <v>0.08</v>
      </c>
      <c r="BE72" s="322">
        <f>Таблица_тренинг_Л[[#This Row],[ловкость2]]+BE71</f>
        <v>1.0399999999999998</v>
      </c>
      <c r="BG72" s="175">
        <v>7</v>
      </c>
      <c r="BH72" s="178">
        <v>28000</v>
      </c>
      <c r="BI72" s="179">
        <f>Таблица_навык_производство[[#This Row],[опыт]]+BI71</f>
        <v>82000</v>
      </c>
      <c r="BJ72" s="172">
        <v>-0.04</v>
      </c>
      <c r="BK72" s="242">
        <f>Таблица_навык_производство[[#This Row],[скорость производства]]+BK71</f>
        <v>-0.28000000000000003</v>
      </c>
      <c r="BM72" s="227">
        <v>13</v>
      </c>
      <c r="BN72" s="219">
        <v>128000</v>
      </c>
      <c r="BO72" s="255">
        <f>Таблица_навык_охотник[[#This Row],[опыт]]+BO71</f>
        <v>435000</v>
      </c>
      <c r="BP72" s="172"/>
      <c r="BQ72" s="234">
        <f>Таблица_навык_охотник[[#This Row],[скорость]]+BQ71</f>
        <v>0.12000000000000001</v>
      </c>
      <c r="BR72" s="251"/>
      <c r="BS72" s="252">
        <f>Таблица_навык_охотник[[#This Row],[эфф.апт]]+BS71</f>
        <v>0.09</v>
      </c>
      <c r="BT72" s="251">
        <v>0.03</v>
      </c>
      <c r="BU72" s="252">
        <f>Таблица_навык_охотник[[#This Row],[крит.поп. Монстры]]+BU71</f>
        <v>0.06</v>
      </c>
      <c r="BV72" s="251"/>
      <c r="BW72" s="252">
        <f>Таблица_навык_охотник[[#This Row],[крит.урон по монстрам]]+BW71</f>
        <v>0.05</v>
      </c>
      <c r="BX72" s="251"/>
      <c r="BY72" s="252">
        <f>Таблица_навык_охотник[[#This Row],[урон по монстрам]]+BY71</f>
        <v>0.03</v>
      </c>
    </row>
    <row r="73" spans="1:77" ht="16.5" thickBot="1" x14ac:dyDescent="0.3">
      <c r="A73" s="115">
        <v>4</v>
      </c>
      <c r="B73" s="116">
        <v>4000</v>
      </c>
      <c r="C73" s="128">
        <f>Таблица_навык_точность[[#This Row],[опыт]]+C72</f>
        <v>10000</v>
      </c>
      <c r="D73" s="260">
        <v>0.03</v>
      </c>
      <c r="E73" s="261">
        <f>Таблица_навык_точность[[#This Row],[точность ]]+E72</f>
        <v>0.12</v>
      </c>
      <c r="G73" s="115">
        <v>4</v>
      </c>
      <c r="H73" s="116">
        <v>24000</v>
      </c>
      <c r="I73" s="128">
        <f>Таблица_навык_крит._попадание[[#This Row],[опыт]]+I72</f>
        <v>59000</v>
      </c>
      <c r="J73" s="262">
        <v>0.05</v>
      </c>
      <c r="K73" s="261">
        <f>Таблица_навык_крит._попадание[[#This Row],[крит. Попадание]]+K72</f>
        <v>0.2</v>
      </c>
      <c r="Q73" s="115">
        <v>4</v>
      </c>
      <c r="R73" s="116">
        <v>5000</v>
      </c>
      <c r="S73" s="146">
        <f>Таблица_навык_маскировка[[#This Row],[опыт]]+S72</f>
        <v>11000</v>
      </c>
      <c r="T73" s="268">
        <v>2</v>
      </c>
      <c r="U73" s="302">
        <f>Таблица_навык_маскировка[[#This Row],[маскировка2]]+U72</f>
        <v>8</v>
      </c>
      <c r="W73" s="150">
        <v>4</v>
      </c>
      <c r="X73" s="116">
        <v>24000</v>
      </c>
      <c r="Y73" s="146">
        <f>Таблица_навык_крит._уклонение[[#This Row],[опыт]]+Y72</f>
        <v>59000</v>
      </c>
      <c r="Z73" s="268">
        <v>4</v>
      </c>
      <c r="AA73" s="308">
        <f>Таблица_навык_крит._уклонение[[#This Row],[крит.уклонение2]]+AA72</f>
        <v>16</v>
      </c>
      <c r="AE73" s="115">
        <v>14</v>
      </c>
      <c r="AF73" s="144">
        <v>62000</v>
      </c>
      <c r="AG73" s="146">
        <f>Таблица_навык_допинг[[#This Row],[опыт]]+AG72</f>
        <v>254000</v>
      </c>
      <c r="AH73" s="268"/>
      <c r="AI73" s="308">
        <f>Таблица_навык_допинг[[#This Row],[ОД на стим]]+AI72</f>
        <v>-5</v>
      </c>
      <c r="AJ73" s="268">
        <v>2</v>
      </c>
      <c r="AK73" s="308">
        <f>+Таблица_навык_допинг[[#This Row],[Интоксикация]]+AK72</f>
        <v>10</v>
      </c>
      <c r="AL73" s="262"/>
      <c r="AM73" s="322">
        <f>Таблица_навык_допинг[[#This Row],[эфф .стим.]]+AM72</f>
        <v>0.04</v>
      </c>
      <c r="AN73" s="268"/>
      <c r="AO73" s="308">
        <f>Таблица_навык_допинг[[#This Row],[дительность]]+AO72</f>
        <v>0</v>
      </c>
      <c r="BA73" s="115">
        <v>14</v>
      </c>
      <c r="BB73" s="116">
        <v>179000</v>
      </c>
      <c r="BC73" s="146">
        <f>Таблица_тренинг_Л[[#This Row],[опыт]]+BC72</f>
        <v>614000</v>
      </c>
      <c r="BD73" s="262">
        <v>0.08</v>
      </c>
      <c r="BE73" s="322">
        <f>Таблица_тренинг_Л[[#This Row],[ловкость2]]+BE72</f>
        <v>1.1199999999999999</v>
      </c>
      <c r="BG73" s="175">
        <v>8</v>
      </c>
      <c r="BH73" s="178">
        <v>40000</v>
      </c>
      <c r="BI73" s="179">
        <f>Таблица_навык_производство[[#This Row],[опыт]]+BI72</f>
        <v>122000</v>
      </c>
      <c r="BJ73" s="172">
        <v>-0.04</v>
      </c>
      <c r="BK73" s="242">
        <f>Таблица_навык_производство[[#This Row],[скорость производства]]+BK72</f>
        <v>-0.32</v>
      </c>
      <c r="BM73" s="227">
        <v>14</v>
      </c>
      <c r="BN73" s="219">
        <v>179000</v>
      </c>
      <c r="BO73" s="255">
        <f>Таблица_навык_охотник[[#This Row],[опыт]]+BO72</f>
        <v>614000</v>
      </c>
      <c r="BP73" s="172"/>
      <c r="BQ73" s="234">
        <f>Таблица_навык_охотник[[#This Row],[скорость]]+BQ72</f>
        <v>0.12000000000000001</v>
      </c>
      <c r="BR73" s="251"/>
      <c r="BS73" s="252">
        <f>Таблица_навык_охотник[[#This Row],[эфф.апт]]+BS72</f>
        <v>0.09</v>
      </c>
      <c r="BT73" s="251"/>
      <c r="BU73" s="252">
        <f>Таблица_навык_охотник[[#This Row],[крит.поп. Монстры]]+BU72</f>
        <v>0.06</v>
      </c>
      <c r="BV73" s="251">
        <v>0.04</v>
      </c>
      <c r="BW73" s="252">
        <f>Таблица_навык_охотник[[#This Row],[крит.урон по монстрам]]+BW72</f>
        <v>0.09</v>
      </c>
      <c r="BX73" s="251"/>
      <c r="BY73" s="252">
        <f>Таблица_навык_охотник[[#This Row],[урон по монстрам]]+BY72</f>
        <v>0.03</v>
      </c>
    </row>
    <row r="74" spans="1:77" x14ac:dyDescent="0.25">
      <c r="A74" s="115">
        <v>5</v>
      </c>
      <c r="B74" s="116">
        <v>6000</v>
      </c>
      <c r="C74" s="128">
        <f>Таблица_навык_точность[[#This Row],[опыт]]+C73</f>
        <v>16000</v>
      </c>
      <c r="D74" s="260">
        <v>0.03</v>
      </c>
      <c r="E74" s="261">
        <f>Таблица_навык_точность[[#This Row],[точность ]]+E73</f>
        <v>0.15</v>
      </c>
      <c r="G74" s="115">
        <v>5</v>
      </c>
      <c r="H74" s="116">
        <v>31000</v>
      </c>
      <c r="I74" s="128">
        <f>Таблица_навык_крит._попадание[[#This Row],[опыт]]+I73</f>
        <v>90000</v>
      </c>
      <c r="J74" s="262">
        <v>0.05</v>
      </c>
      <c r="K74" s="261">
        <f>Таблица_навык_крит._попадание[[#This Row],[крит. Попадание]]+K73</f>
        <v>0.25</v>
      </c>
      <c r="Q74" s="115">
        <v>5</v>
      </c>
      <c r="R74" s="116">
        <v>6000</v>
      </c>
      <c r="S74" s="146">
        <f>Таблица_навык_маскировка[[#This Row],[опыт]]+S73</f>
        <v>17000</v>
      </c>
      <c r="T74" s="268">
        <v>2</v>
      </c>
      <c r="U74" s="302">
        <f>Таблица_навык_маскировка[[#This Row],[маскировка2]]+U73</f>
        <v>10</v>
      </c>
      <c r="W74" s="150">
        <v>5</v>
      </c>
      <c r="X74" s="116">
        <v>31000</v>
      </c>
      <c r="Y74" s="146">
        <f>Таблица_навык_крит._уклонение[[#This Row],[опыт]]+Y73</f>
        <v>90000</v>
      </c>
      <c r="Z74" s="268">
        <v>4</v>
      </c>
      <c r="AA74" s="308">
        <f>Таблица_навык_крит._уклонение[[#This Row],[крит.уклонение2]]+AA73</f>
        <v>20</v>
      </c>
      <c r="AE74" s="115">
        <v>15</v>
      </c>
      <c r="AF74" s="153">
        <v>81000</v>
      </c>
      <c r="AG74" s="146">
        <f>Таблица_навык_допинг[[#This Row],[опыт]]+AG73</f>
        <v>335000</v>
      </c>
      <c r="AH74" s="268"/>
      <c r="AI74" s="308">
        <f>Таблица_навык_допинг[[#This Row],[ОД на стим]]+AI73</f>
        <v>-5</v>
      </c>
      <c r="AJ74" s="268"/>
      <c r="AK74" s="308">
        <f>+Таблица_навык_допинг[[#This Row],[Интоксикация]]+AK73</f>
        <v>10</v>
      </c>
      <c r="AL74" s="262">
        <v>0.01</v>
      </c>
      <c r="AM74" s="322">
        <f>Таблица_навык_допинг[[#This Row],[эфф .стим.]]+AM73</f>
        <v>0.05</v>
      </c>
      <c r="AN74" s="268"/>
      <c r="AO74" s="308">
        <f>Таблица_навык_допинг[[#This Row],[дительность]]+AO73</f>
        <v>0</v>
      </c>
      <c r="AQ74" s="111" t="s">
        <v>155</v>
      </c>
      <c r="AR74" s="112" t="s">
        <v>514</v>
      </c>
      <c r="AS74" s="131" t="s">
        <v>495</v>
      </c>
      <c r="AT74" s="258" t="s">
        <v>156</v>
      </c>
      <c r="AU74" s="259" t="s">
        <v>496</v>
      </c>
      <c r="BA74" s="115">
        <v>15</v>
      </c>
      <c r="BB74" s="116">
        <v>250000</v>
      </c>
      <c r="BC74" s="146">
        <f>Таблица_тренинг_Л[[#This Row],[опыт]]+BC73</f>
        <v>864000</v>
      </c>
      <c r="BD74" s="262">
        <v>0.08</v>
      </c>
      <c r="BE74" s="322">
        <f>Таблица_тренинг_Л[[#This Row],[ловкость2]]+BE73</f>
        <v>1.2</v>
      </c>
      <c r="BG74" s="175">
        <v>9</v>
      </c>
      <c r="BH74" s="178">
        <v>55000</v>
      </c>
      <c r="BI74" s="179">
        <f>Таблица_навык_производство[[#This Row],[опыт]]+BI73</f>
        <v>177000</v>
      </c>
      <c r="BJ74" s="172">
        <v>-0.04</v>
      </c>
      <c r="BK74" s="242">
        <f>Таблица_навык_производство[[#This Row],[скорость производства]]+BK73</f>
        <v>-0.36</v>
      </c>
      <c r="BM74" s="227">
        <v>15</v>
      </c>
      <c r="BN74" s="219">
        <v>250000</v>
      </c>
      <c r="BO74" s="255">
        <f>Таблица_навык_охотник[[#This Row],[опыт]]+BO73</f>
        <v>864000</v>
      </c>
      <c r="BP74" s="172"/>
      <c r="BQ74" s="234">
        <f>Таблица_навык_охотник[[#This Row],[скорость]]+BQ73</f>
        <v>0.12000000000000001</v>
      </c>
      <c r="BR74" s="251"/>
      <c r="BS74" s="252">
        <f>Таблица_навык_охотник[[#This Row],[эфф.апт]]+BS73</f>
        <v>0.09</v>
      </c>
      <c r="BT74" s="251"/>
      <c r="BU74" s="252">
        <f>Таблица_навык_охотник[[#This Row],[крит.поп. Монстры]]+BU73</f>
        <v>0.06</v>
      </c>
      <c r="BV74" s="251"/>
      <c r="BW74" s="252">
        <f>Таблица_навык_охотник[[#This Row],[крит.урон по монстрам]]+BW73</f>
        <v>0.09</v>
      </c>
      <c r="BX74" s="251">
        <v>0.03</v>
      </c>
      <c r="BY74" s="252">
        <f>Таблица_навык_охотник[[#This Row],[урон по монстрам]]+BY73</f>
        <v>0.06</v>
      </c>
    </row>
    <row r="75" spans="1:77" x14ac:dyDescent="0.25">
      <c r="A75" s="115">
        <v>6</v>
      </c>
      <c r="B75" s="116">
        <v>8000</v>
      </c>
      <c r="C75" s="128">
        <f>Таблица_навык_точность[[#This Row],[опыт]]+C74</f>
        <v>24000</v>
      </c>
      <c r="D75" s="260">
        <v>2.5000000000000001E-2</v>
      </c>
      <c r="E75" s="261">
        <f>Таблица_навык_точность[[#This Row],[точность ]]+E74</f>
        <v>0.17499999999999999</v>
      </c>
      <c r="G75" s="115">
        <v>6</v>
      </c>
      <c r="H75" s="116">
        <v>38000</v>
      </c>
      <c r="I75" s="128">
        <f>Таблица_навык_крит._попадание[[#This Row],[опыт]]+I74</f>
        <v>128000</v>
      </c>
      <c r="J75" s="262">
        <v>0.04</v>
      </c>
      <c r="K75" s="261">
        <f>Таблица_навык_крит._попадание[[#This Row],[крит. Попадание]]+K74</f>
        <v>0.28999999999999998</v>
      </c>
      <c r="Q75" s="115">
        <v>6</v>
      </c>
      <c r="R75" s="116">
        <v>9000</v>
      </c>
      <c r="S75" s="146">
        <f>Таблица_навык_маскировка[[#This Row],[опыт]]+S74</f>
        <v>26000</v>
      </c>
      <c r="T75" s="268">
        <v>2</v>
      </c>
      <c r="U75" s="302">
        <f>Таблица_навык_маскировка[[#This Row],[маскировка2]]+U74</f>
        <v>12</v>
      </c>
      <c r="W75" s="150">
        <v>6</v>
      </c>
      <c r="X75" s="116">
        <v>38000</v>
      </c>
      <c r="Y75" s="146">
        <f>Таблица_навык_крит._уклонение[[#This Row],[опыт]]+Y74</f>
        <v>128000</v>
      </c>
      <c r="Z75" s="268">
        <v>4</v>
      </c>
      <c r="AA75" s="308">
        <f>Таблица_навык_крит._уклонение[[#This Row],[крит.уклонение2]]+AA74</f>
        <v>24</v>
      </c>
      <c r="AE75" s="115">
        <v>16</v>
      </c>
      <c r="AF75" s="144">
        <v>104000</v>
      </c>
      <c r="AG75" s="146">
        <f>Таблица_навык_допинг[[#This Row],[опыт]]+AG74</f>
        <v>439000</v>
      </c>
      <c r="AH75" s="268"/>
      <c r="AI75" s="308">
        <f>Таблица_навык_допинг[[#This Row],[ОД на стим]]+AI74</f>
        <v>-5</v>
      </c>
      <c r="AJ75" s="268">
        <v>2</v>
      </c>
      <c r="AK75" s="308">
        <f>+Таблица_навык_допинг[[#This Row],[Интоксикация]]+AK74</f>
        <v>12</v>
      </c>
      <c r="AL75" s="262"/>
      <c r="AM75" s="322">
        <f>Таблица_навык_допинг[[#This Row],[эфф .стим.]]+AM74</f>
        <v>0.05</v>
      </c>
      <c r="AN75" s="268"/>
      <c r="AO75" s="308">
        <f>Таблица_навык_допинг[[#This Row],[дительность]]+AO74</f>
        <v>0</v>
      </c>
      <c r="AQ75" s="115">
        <v>0</v>
      </c>
      <c r="AR75" s="132">
        <v>0</v>
      </c>
      <c r="AS75" s="146">
        <v>0</v>
      </c>
      <c r="AT75" s="305"/>
      <c r="AU75" s="308">
        <v>0</v>
      </c>
      <c r="BA75" s="115">
        <v>16</v>
      </c>
      <c r="BB75" s="116">
        <v>340000</v>
      </c>
      <c r="BC75" s="146">
        <f>Таблица_тренинг_Л[[#This Row],[опыт]]+BC74</f>
        <v>1204000</v>
      </c>
      <c r="BD75" s="262">
        <v>0.08</v>
      </c>
      <c r="BE75" s="322">
        <f>Таблица_тренинг_Л[[#This Row],[ловкость2]]+BE74</f>
        <v>1.28</v>
      </c>
      <c r="BG75" s="175">
        <v>10</v>
      </c>
      <c r="BH75" s="178">
        <v>77000</v>
      </c>
      <c r="BI75" s="179">
        <f>Таблица_навык_производство[[#This Row],[опыт]]+BI74</f>
        <v>254000</v>
      </c>
      <c r="BJ75" s="172">
        <v>-0.04</v>
      </c>
      <c r="BK75" s="242">
        <f>Таблица_навык_производство[[#This Row],[скорость производства]]+BK74</f>
        <v>-0.39999999999999997</v>
      </c>
      <c r="BM75" s="227">
        <v>16</v>
      </c>
      <c r="BN75" s="219">
        <v>340000</v>
      </c>
      <c r="BO75" s="255">
        <f>Таблица_навык_охотник[[#This Row],[опыт]]+BO74</f>
        <v>1204000</v>
      </c>
      <c r="BP75" s="172">
        <v>0.06</v>
      </c>
      <c r="BQ75" s="234">
        <f>Таблица_навык_охотник[[#This Row],[скорость]]+BQ74</f>
        <v>0.18</v>
      </c>
      <c r="BR75" s="251"/>
      <c r="BS75" s="252">
        <f>Таблица_навык_охотник[[#This Row],[эфф.апт]]+BS74</f>
        <v>0.09</v>
      </c>
      <c r="BT75" s="251"/>
      <c r="BU75" s="252">
        <f>Таблица_навык_охотник[[#This Row],[крит.поп. Монстры]]+BU74</f>
        <v>0.06</v>
      </c>
      <c r="BV75" s="251"/>
      <c r="BW75" s="252">
        <f>Таблица_навык_охотник[[#This Row],[крит.урон по монстрам]]+BW74</f>
        <v>0.09</v>
      </c>
      <c r="BX75" s="251"/>
      <c r="BY75" s="252">
        <f>Таблица_навык_охотник[[#This Row],[урон по монстрам]]+BY74</f>
        <v>0.06</v>
      </c>
    </row>
    <row r="76" spans="1:77" x14ac:dyDescent="0.25">
      <c r="A76" s="115">
        <v>7</v>
      </c>
      <c r="B76" s="116">
        <v>11000</v>
      </c>
      <c r="C76" s="128">
        <f>Таблица_навык_точность[[#This Row],[опыт]]+C75</f>
        <v>35000</v>
      </c>
      <c r="D76" s="260">
        <v>2.5000000000000001E-2</v>
      </c>
      <c r="E76" s="261">
        <f>Таблица_навык_точность[[#This Row],[точность ]]+E75</f>
        <v>0.19999999999999998</v>
      </c>
      <c r="G76" s="115">
        <v>7</v>
      </c>
      <c r="H76" s="116">
        <v>47000</v>
      </c>
      <c r="I76" s="128">
        <f>Таблица_навык_крит._попадание[[#This Row],[опыт]]+I75</f>
        <v>175000</v>
      </c>
      <c r="J76" s="262">
        <v>0.04</v>
      </c>
      <c r="K76" s="261">
        <f>Таблица_навык_крит._попадание[[#This Row],[крит. Попадание]]+K75</f>
        <v>0.32999999999999996</v>
      </c>
      <c r="Q76" s="115">
        <v>7</v>
      </c>
      <c r="R76" s="116">
        <v>13000</v>
      </c>
      <c r="S76" s="146">
        <f>Таблица_навык_маскировка[[#This Row],[опыт]]+S75</f>
        <v>39000</v>
      </c>
      <c r="T76" s="268">
        <v>2</v>
      </c>
      <c r="U76" s="302">
        <f>Таблица_навык_маскировка[[#This Row],[маскировка2]]+U75</f>
        <v>14</v>
      </c>
      <c r="W76" s="150">
        <v>7</v>
      </c>
      <c r="X76" s="116">
        <v>47000</v>
      </c>
      <c r="Y76" s="146">
        <f>Таблица_навык_крит._уклонение[[#This Row],[опыт]]+Y75</f>
        <v>175000</v>
      </c>
      <c r="Z76" s="268">
        <v>4</v>
      </c>
      <c r="AA76" s="308">
        <f>Таблица_навык_крит._уклонение[[#This Row],[крит.уклонение2]]+AA75</f>
        <v>28</v>
      </c>
      <c r="AE76" s="115">
        <v>17</v>
      </c>
      <c r="AF76" s="153">
        <v>135000</v>
      </c>
      <c r="AG76" s="146">
        <f>Таблица_навык_допинг[[#This Row],[опыт]]+AG75</f>
        <v>574000</v>
      </c>
      <c r="AH76" s="268"/>
      <c r="AI76" s="308">
        <f>Таблица_навык_допинг[[#This Row],[ОД на стим]]+AI75</f>
        <v>-5</v>
      </c>
      <c r="AJ76" s="268"/>
      <c r="AK76" s="308">
        <f>+Таблица_навык_допинг[[#This Row],[Интоксикация]]+AK75</f>
        <v>12</v>
      </c>
      <c r="AL76" s="262">
        <v>0.01</v>
      </c>
      <c r="AM76" s="322">
        <f>Таблица_навык_допинг[[#This Row],[эфф .стим.]]+AM75</f>
        <v>6.0000000000000005E-2</v>
      </c>
      <c r="AN76" s="268"/>
      <c r="AO76" s="308">
        <f>Таблица_навык_допинг[[#This Row],[дительность]]+AO75</f>
        <v>0</v>
      </c>
      <c r="AQ76" s="147">
        <v>1</v>
      </c>
      <c r="AR76" s="132">
        <v>1000</v>
      </c>
      <c r="AS76" s="146">
        <f>Таблица_навык_турист[[#This Row],[опыт ]]+AS75</f>
        <v>1000</v>
      </c>
      <c r="AT76" s="305">
        <v>3</v>
      </c>
      <c r="AU76" s="308">
        <f>Таблица_навык_турист[[#This Row],[грузоподъемность]]+AU75</f>
        <v>3</v>
      </c>
      <c r="BA76" s="115">
        <v>17</v>
      </c>
      <c r="BB76" s="116">
        <v>471000</v>
      </c>
      <c r="BC76" s="146">
        <f>Таблица_тренинг_Л[[#This Row],[опыт]]+BC75</f>
        <v>1675000</v>
      </c>
      <c r="BD76" s="262">
        <v>0.08</v>
      </c>
      <c r="BE76" s="322">
        <f>Таблица_тренинг_Л[[#This Row],[ловкость2]]+BE75</f>
        <v>1.36</v>
      </c>
      <c r="BG76" s="175">
        <v>11</v>
      </c>
      <c r="BH76" s="178">
        <v>107000</v>
      </c>
      <c r="BI76" s="179">
        <f>Таблица_навык_производство[[#This Row],[опыт]]+BI75</f>
        <v>361000</v>
      </c>
      <c r="BJ76" s="172">
        <v>-0.04</v>
      </c>
      <c r="BK76" s="242">
        <f>Таблица_навык_производство[[#This Row],[скорость производства]]+BK75</f>
        <v>-0.43999999999999995</v>
      </c>
      <c r="BM76" s="227">
        <v>17</v>
      </c>
      <c r="BN76" s="219">
        <v>471000</v>
      </c>
      <c r="BO76" s="255">
        <f>Таблица_навык_охотник[[#This Row],[опыт]]+BO75</f>
        <v>1675000</v>
      </c>
      <c r="BP76" s="172"/>
      <c r="BQ76" s="234">
        <f>Таблица_навык_охотник[[#This Row],[скорость]]+BQ75</f>
        <v>0.18</v>
      </c>
      <c r="BR76" s="251">
        <v>0.05</v>
      </c>
      <c r="BS76" s="252">
        <f>Таблица_навык_охотник[[#This Row],[эфф.апт]]+BS75</f>
        <v>0.14000000000000001</v>
      </c>
      <c r="BT76" s="251"/>
      <c r="BU76" s="252">
        <f>Таблица_навык_охотник[[#This Row],[крит.поп. Монстры]]+BU75</f>
        <v>0.06</v>
      </c>
      <c r="BV76" s="251"/>
      <c r="BW76" s="252">
        <f>Таблица_навык_охотник[[#This Row],[крит.урон по монстрам]]+BW75</f>
        <v>0.09</v>
      </c>
      <c r="BX76" s="251"/>
      <c r="BY76" s="252">
        <f>Таблица_навык_охотник[[#This Row],[урон по монстрам]]+BY75</f>
        <v>0.06</v>
      </c>
    </row>
    <row r="77" spans="1:77" x14ac:dyDescent="0.25">
      <c r="A77" s="115">
        <v>8</v>
      </c>
      <c r="B77" s="116">
        <v>16000</v>
      </c>
      <c r="C77" s="128">
        <f>Таблица_навык_точность[[#This Row],[опыт]]+C76</f>
        <v>51000</v>
      </c>
      <c r="D77" s="260">
        <v>2.5000000000000001E-2</v>
      </c>
      <c r="E77" s="261">
        <f>Таблица_навык_точность[[#This Row],[точность ]]+E76</f>
        <v>0.22499999999999998</v>
      </c>
      <c r="G77" s="115">
        <v>8</v>
      </c>
      <c r="H77" s="116">
        <v>59000</v>
      </c>
      <c r="I77" s="128">
        <f>Таблица_навык_крит._попадание[[#This Row],[опыт]]+I76</f>
        <v>234000</v>
      </c>
      <c r="J77" s="262">
        <v>0.04</v>
      </c>
      <c r="K77" s="261">
        <f>Таблица_навык_крит._попадание[[#This Row],[крит. Попадание]]+K76</f>
        <v>0.36999999999999994</v>
      </c>
      <c r="Q77" s="115">
        <v>8</v>
      </c>
      <c r="R77" s="116">
        <v>19000</v>
      </c>
      <c r="S77" s="146">
        <f>Таблица_навык_маскировка[[#This Row],[опыт]]+S76</f>
        <v>58000</v>
      </c>
      <c r="T77" s="268">
        <v>2</v>
      </c>
      <c r="U77" s="302">
        <f>Таблица_навык_маскировка[[#This Row],[маскировка2]]+U76</f>
        <v>16</v>
      </c>
      <c r="W77" s="150">
        <v>8</v>
      </c>
      <c r="X77" s="116">
        <v>59000</v>
      </c>
      <c r="Y77" s="146">
        <f>Таблица_навык_крит._уклонение[[#This Row],[опыт]]+Y76</f>
        <v>234000</v>
      </c>
      <c r="Z77" s="268">
        <v>4</v>
      </c>
      <c r="AA77" s="308">
        <f>Таблица_навык_крит._уклонение[[#This Row],[крит.уклонение2]]+AA76</f>
        <v>32</v>
      </c>
      <c r="AE77" s="115">
        <v>18</v>
      </c>
      <c r="AF77" s="144">
        <v>173000</v>
      </c>
      <c r="AG77" s="146">
        <f>Таблица_навык_допинг[[#This Row],[опыт]]+AG76</f>
        <v>747000</v>
      </c>
      <c r="AH77" s="268"/>
      <c r="AI77" s="308">
        <f>Таблица_навык_допинг[[#This Row],[ОД на стим]]+AI76</f>
        <v>-5</v>
      </c>
      <c r="AJ77" s="268">
        <v>2</v>
      </c>
      <c r="AK77" s="308">
        <f>+Таблица_навык_допинг[[#This Row],[Интоксикация]]+AK76</f>
        <v>14</v>
      </c>
      <c r="AL77" s="262"/>
      <c r="AM77" s="322">
        <f>Таблица_навык_допинг[[#This Row],[эфф .стим.]]+AM76</f>
        <v>6.0000000000000005E-2</v>
      </c>
      <c r="AN77" s="268"/>
      <c r="AO77" s="308">
        <f>Таблица_навык_допинг[[#This Row],[дительность]]+AO76</f>
        <v>0</v>
      </c>
      <c r="AQ77" s="115">
        <v>2</v>
      </c>
      <c r="AR77" s="132">
        <v>2000</v>
      </c>
      <c r="AS77" s="146">
        <f>Таблица_навык_турист[[#This Row],[опыт ]]+AS76</f>
        <v>3000</v>
      </c>
      <c r="AT77" s="305">
        <v>3</v>
      </c>
      <c r="AU77" s="308">
        <f>Таблица_навык_турист[[#This Row],[грузоподъемность]]+AU76</f>
        <v>6</v>
      </c>
      <c r="BA77" s="115">
        <v>18</v>
      </c>
      <c r="BB77" s="116">
        <v>649000</v>
      </c>
      <c r="BC77" s="146">
        <f>Таблица_тренинг_Л[[#This Row],[опыт]]+BC76</f>
        <v>2324000</v>
      </c>
      <c r="BD77" s="262">
        <v>0.08</v>
      </c>
      <c r="BE77" s="322">
        <f>Таблица_тренинг_Л[[#This Row],[ловкость2]]+BE76</f>
        <v>1.4400000000000002</v>
      </c>
      <c r="BG77" s="175">
        <v>12</v>
      </c>
      <c r="BH77" s="178">
        <v>148000</v>
      </c>
      <c r="BI77" s="179">
        <f>Таблица_навык_производство[[#This Row],[опыт]]+BI76</f>
        <v>509000</v>
      </c>
      <c r="BJ77" s="172">
        <v>-0.04</v>
      </c>
      <c r="BK77" s="242">
        <f>Таблица_навык_производство[[#This Row],[скорость производства]]+BK76</f>
        <v>-0.47999999999999993</v>
      </c>
      <c r="BM77" s="227">
        <v>18</v>
      </c>
      <c r="BN77" s="219">
        <v>649000</v>
      </c>
      <c r="BO77" s="255">
        <f>Таблица_навык_охотник[[#This Row],[опыт]]+BO76</f>
        <v>2324000</v>
      </c>
      <c r="BP77" s="172"/>
      <c r="BQ77" s="234">
        <f>Таблица_навык_охотник[[#This Row],[скорость]]+BQ76</f>
        <v>0.18</v>
      </c>
      <c r="BR77" s="251"/>
      <c r="BS77" s="252">
        <f>Таблица_навык_охотник[[#This Row],[эфф.апт]]+BS76</f>
        <v>0.14000000000000001</v>
      </c>
      <c r="BT77" s="251">
        <v>0.04</v>
      </c>
      <c r="BU77" s="252">
        <f>Таблица_навык_охотник[[#This Row],[крит.поп. Монстры]]+BU76</f>
        <v>0.1</v>
      </c>
      <c r="BV77" s="251"/>
      <c r="BW77" s="252">
        <f>Таблица_навык_охотник[[#This Row],[крит.урон по монстрам]]+BW76</f>
        <v>0.09</v>
      </c>
      <c r="BX77" s="251"/>
      <c r="BY77" s="252">
        <f>Таблица_навык_охотник[[#This Row],[урон по монстрам]]+BY76</f>
        <v>0.06</v>
      </c>
    </row>
    <row r="78" spans="1:77" x14ac:dyDescent="0.25">
      <c r="A78" s="115">
        <v>9</v>
      </c>
      <c r="B78" s="116">
        <v>21000</v>
      </c>
      <c r="C78" s="128">
        <f>Таблица_навык_точность[[#This Row],[опыт]]+C77</f>
        <v>72000</v>
      </c>
      <c r="D78" s="260">
        <v>2.5000000000000001E-2</v>
      </c>
      <c r="E78" s="261">
        <f>Таблица_навык_точность[[#This Row],[точность ]]+E77</f>
        <v>0.24999999999999997</v>
      </c>
      <c r="G78" s="115">
        <v>9</v>
      </c>
      <c r="H78" s="116">
        <v>72000</v>
      </c>
      <c r="I78" s="128">
        <f>Таблица_навык_крит._попадание[[#This Row],[опыт]]+I77</f>
        <v>306000</v>
      </c>
      <c r="J78" s="262">
        <v>0.04</v>
      </c>
      <c r="K78" s="261">
        <f>Таблица_навык_крит._попадание[[#This Row],[крит. Попадание]]+K77</f>
        <v>0.40999999999999992</v>
      </c>
      <c r="Q78" s="115">
        <v>9</v>
      </c>
      <c r="R78" s="116">
        <v>25000</v>
      </c>
      <c r="S78" s="146">
        <f>Таблица_навык_маскировка[[#This Row],[опыт]]+S77</f>
        <v>83000</v>
      </c>
      <c r="T78" s="268">
        <v>2</v>
      </c>
      <c r="U78" s="302">
        <f>Таблица_навык_маскировка[[#This Row],[маскировка2]]+U77</f>
        <v>18</v>
      </c>
      <c r="W78" s="150">
        <v>9</v>
      </c>
      <c r="X78" s="116">
        <v>72000</v>
      </c>
      <c r="Y78" s="146">
        <f>Таблица_навык_крит._уклонение[[#This Row],[опыт]]+Y77</f>
        <v>306000</v>
      </c>
      <c r="Z78" s="268">
        <v>4</v>
      </c>
      <c r="AA78" s="308">
        <f>Таблица_навык_крит._уклонение[[#This Row],[крит.уклонение2]]+AA77</f>
        <v>36</v>
      </c>
      <c r="AE78" s="115">
        <v>19</v>
      </c>
      <c r="AF78" s="153">
        <v>223000</v>
      </c>
      <c r="AG78" s="146">
        <f>Таблица_навык_допинг[[#This Row],[опыт]]+AG77</f>
        <v>970000</v>
      </c>
      <c r="AH78" s="268"/>
      <c r="AI78" s="308">
        <f>Таблица_навык_допинг[[#This Row],[ОД на стим]]+AI77</f>
        <v>-5</v>
      </c>
      <c r="AJ78" s="268"/>
      <c r="AK78" s="308">
        <f>+Таблица_навык_допинг[[#This Row],[Интоксикация]]+AK77</f>
        <v>14</v>
      </c>
      <c r="AL78" s="262">
        <v>0.01</v>
      </c>
      <c r="AM78" s="322">
        <f>Таблица_навык_допинг[[#This Row],[эфф .стим.]]+AM77</f>
        <v>7.0000000000000007E-2</v>
      </c>
      <c r="AN78" s="268"/>
      <c r="AO78" s="308">
        <f>Таблица_навык_допинг[[#This Row],[дительность]]+AO77</f>
        <v>0</v>
      </c>
      <c r="AQ78" s="147">
        <v>3</v>
      </c>
      <c r="AR78" s="132">
        <v>4000</v>
      </c>
      <c r="AS78" s="146">
        <f>Таблица_навык_турист[[#This Row],[опыт ]]+AS77</f>
        <v>7000</v>
      </c>
      <c r="AT78" s="305">
        <v>3</v>
      </c>
      <c r="AU78" s="308">
        <f>Таблица_навык_турист[[#This Row],[грузоподъемность]]+AU77</f>
        <v>9</v>
      </c>
      <c r="BA78" s="115">
        <v>19</v>
      </c>
      <c r="BB78" s="116">
        <v>889000</v>
      </c>
      <c r="BC78" s="146">
        <f>Таблица_тренинг_Л[[#This Row],[опыт]]+BC77</f>
        <v>3213000</v>
      </c>
      <c r="BD78" s="262">
        <v>0.08</v>
      </c>
      <c r="BE78" s="322">
        <f>Таблица_тренинг_Л[[#This Row],[ловкость2]]+BE77</f>
        <v>1.5200000000000002</v>
      </c>
      <c r="BG78" s="175">
        <v>13</v>
      </c>
      <c r="BH78" s="178">
        <v>202000</v>
      </c>
      <c r="BI78" s="179">
        <f>Таблица_навык_производство[[#This Row],[опыт]]+BI77</f>
        <v>711000</v>
      </c>
      <c r="BJ78" s="172">
        <v>-0.04</v>
      </c>
      <c r="BK78" s="242">
        <f>Таблица_навык_производство[[#This Row],[скорость производства]]+BK77</f>
        <v>-0.51999999999999991</v>
      </c>
      <c r="BM78" s="227">
        <v>19</v>
      </c>
      <c r="BN78" s="219">
        <v>889000</v>
      </c>
      <c r="BO78" s="255">
        <f>Таблица_навык_охотник[[#This Row],[опыт]]+BO77</f>
        <v>3213000</v>
      </c>
      <c r="BP78" s="172"/>
      <c r="BQ78" s="234">
        <f>Таблица_навык_охотник[[#This Row],[скорость]]+BQ77</f>
        <v>0.18</v>
      </c>
      <c r="BR78" s="251"/>
      <c r="BS78" s="252">
        <f>Таблица_навык_охотник[[#This Row],[эфф.апт]]+BS77</f>
        <v>0.14000000000000001</v>
      </c>
      <c r="BT78" s="251"/>
      <c r="BU78" s="252">
        <f>Таблица_навык_охотник[[#This Row],[крит.поп. Монстры]]+BU77</f>
        <v>0.1</v>
      </c>
      <c r="BV78" s="251">
        <v>0.05</v>
      </c>
      <c r="BW78" s="252">
        <f>Таблица_навык_охотник[[#This Row],[крит.урон по монстрам]]+BW77</f>
        <v>0.14000000000000001</v>
      </c>
      <c r="BX78" s="251"/>
      <c r="BY78" s="252">
        <f>Таблица_навык_охотник[[#This Row],[урон по монстрам]]+BY77</f>
        <v>0.06</v>
      </c>
    </row>
    <row r="79" spans="1:77" x14ac:dyDescent="0.25">
      <c r="A79" s="117">
        <v>10</v>
      </c>
      <c r="B79" s="116">
        <v>29000</v>
      </c>
      <c r="C79" s="128">
        <f>Таблица_навык_точность[[#This Row],[опыт]]+C78</f>
        <v>101000</v>
      </c>
      <c r="D79" s="260">
        <v>2.5000000000000001E-2</v>
      </c>
      <c r="E79" s="261">
        <f>Таблица_навык_точность[[#This Row],[точность ]]+E78</f>
        <v>0.27499999999999997</v>
      </c>
      <c r="G79" s="117">
        <v>10</v>
      </c>
      <c r="H79" s="116">
        <v>88000</v>
      </c>
      <c r="I79" s="128">
        <f>Таблица_навык_крит._попадание[[#This Row],[опыт]]+I78</f>
        <v>394000</v>
      </c>
      <c r="J79" s="262">
        <v>0.04</v>
      </c>
      <c r="K79" s="261">
        <f>Таблица_навык_крит._попадание[[#This Row],[крит. Попадание]]+K78</f>
        <v>0.4499999999999999</v>
      </c>
      <c r="Q79" s="115">
        <v>10</v>
      </c>
      <c r="R79" s="116">
        <v>35000</v>
      </c>
      <c r="S79" s="146">
        <f>Таблица_навык_маскировка[[#This Row],[опыт]]+S78</f>
        <v>118000</v>
      </c>
      <c r="T79" s="268">
        <v>2</v>
      </c>
      <c r="U79" s="302">
        <f>Таблица_навык_маскировка[[#This Row],[маскировка2]]+U78</f>
        <v>20</v>
      </c>
      <c r="W79" s="150">
        <v>10</v>
      </c>
      <c r="X79" s="116">
        <v>88000</v>
      </c>
      <c r="Y79" s="146">
        <f>Таблица_навык_крит._уклонение[[#This Row],[опыт]]+Y78</f>
        <v>394000</v>
      </c>
      <c r="Z79" s="268">
        <v>4</v>
      </c>
      <c r="AA79" s="308">
        <f>Таблица_навык_крит._уклонение[[#This Row],[крит.уклонение2]]+AA78</f>
        <v>40</v>
      </c>
      <c r="AE79" s="115">
        <v>20</v>
      </c>
      <c r="AF79" s="144">
        <v>286000</v>
      </c>
      <c r="AG79" s="146">
        <f>Таблица_навык_допинг[[#This Row],[опыт]]+AG78</f>
        <v>1256000</v>
      </c>
      <c r="AH79" s="268"/>
      <c r="AI79" s="308">
        <f>Таблица_навык_допинг[[#This Row],[ОД на стим]]+AI78</f>
        <v>-5</v>
      </c>
      <c r="AJ79" s="268">
        <v>1</v>
      </c>
      <c r="AK79" s="308">
        <f>+Таблица_навык_допинг[[#This Row],[Интоксикация]]+AK78</f>
        <v>15</v>
      </c>
      <c r="AL79" s="262"/>
      <c r="AM79" s="322">
        <f>Таблица_навык_допинг[[#This Row],[эфф .стим.]]+AM78</f>
        <v>7.0000000000000007E-2</v>
      </c>
      <c r="AN79" s="268"/>
      <c r="AO79" s="308">
        <f>Таблица_навык_допинг[[#This Row],[дительность]]+AO78</f>
        <v>0</v>
      </c>
      <c r="AQ79" s="115">
        <v>4</v>
      </c>
      <c r="AR79" s="132">
        <v>4000</v>
      </c>
      <c r="AS79" s="146">
        <f>Таблица_навык_турист[[#This Row],[опыт ]]+AS78</f>
        <v>11000</v>
      </c>
      <c r="AT79" s="305">
        <v>3</v>
      </c>
      <c r="AU79" s="308">
        <f>Таблица_навык_турист[[#This Row],[грузоподъемность]]+AU78</f>
        <v>12</v>
      </c>
      <c r="BA79" s="115">
        <v>20</v>
      </c>
      <c r="BB79" s="116">
        <v>1218000</v>
      </c>
      <c r="BC79" s="146">
        <f>Таблица_тренинг_Л[[#This Row],[опыт]]+BC78</f>
        <v>4431000</v>
      </c>
      <c r="BD79" s="262">
        <v>0.08</v>
      </c>
      <c r="BE79" s="322">
        <f>Таблица_тренинг_Л[[#This Row],[ловкость2]]+BE78</f>
        <v>1.6000000000000003</v>
      </c>
      <c r="BG79" s="175">
        <v>14</v>
      </c>
      <c r="BH79" s="178">
        <v>277000</v>
      </c>
      <c r="BI79" s="179">
        <f>Таблица_навык_производство[[#This Row],[опыт]]+BI78</f>
        <v>988000</v>
      </c>
      <c r="BJ79" s="172">
        <v>-0.04</v>
      </c>
      <c r="BK79" s="242">
        <f>Таблица_навык_производство[[#This Row],[скорость производства]]+BK78</f>
        <v>-0.55999999999999994</v>
      </c>
      <c r="BM79" s="227">
        <v>20</v>
      </c>
      <c r="BN79" s="219">
        <v>1218000</v>
      </c>
      <c r="BO79" s="255">
        <f>Таблица_навык_охотник[[#This Row],[опыт]]+BO78</f>
        <v>4431000</v>
      </c>
      <c r="BP79" s="172"/>
      <c r="BQ79" s="234">
        <f>Таблица_навык_охотник[[#This Row],[скорость]]+BQ78</f>
        <v>0.18</v>
      </c>
      <c r="BR79" s="251"/>
      <c r="BS79" s="252">
        <f>Таблица_навык_охотник[[#This Row],[эфф.апт]]+BS78</f>
        <v>0.14000000000000001</v>
      </c>
      <c r="BT79" s="251"/>
      <c r="BU79" s="252">
        <f>Таблица_навык_охотник[[#This Row],[крит.поп. Монстры]]+BU78</f>
        <v>0.1</v>
      </c>
      <c r="BV79" s="251"/>
      <c r="BW79" s="252">
        <f>Таблица_навык_охотник[[#This Row],[крит.урон по монстрам]]+BW78</f>
        <v>0.14000000000000001</v>
      </c>
      <c r="BX79" s="251">
        <v>0.04</v>
      </c>
      <c r="BY79" s="252">
        <f>Таблица_навык_охотник[[#This Row],[урон по монстрам]]+BY78</f>
        <v>0.1</v>
      </c>
    </row>
    <row r="80" spans="1:77" x14ac:dyDescent="0.25">
      <c r="A80" s="117">
        <v>11</v>
      </c>
      <c r="B80" s="116">
        <v>39000</v>
      </c>
      <c r="C80" s="128">
        <f>Таблица_навык_точность[[#This Row],[опыт]]+C79</f>
        <v>140000</v>
      </c>
      <c r="D80" s="260">
        <v>2.5000000000000001E-2</v>
      </c>
      <c r="E80" s="261">
        <f>Таблица_навык_точность[[#This Row],[точность ]]+E79</f>
        <v>0.3</v>
      </c>
      <c r="G80" s="117">
        <v>11</v>
      </c>
      <c r="H80" s="116">
        <v>107000</v>
      </c>
      <c r="I80" s="128">
        <f>Таблица_навык_крит._попадание[[#This Row],[опыт]]+I79</f>
        <v>501000</v>
      </c>
      <c r="J80" s="262">
        <v>0.04</v>
      </c>
      <c r="K80" s="261">
        <f>Таблица_навык_крит._попадание[[#This Row],[крит. Попадание]]+K79</f>
        <v>0.48999999999999988</v>
      </c>
      <c r="Q80" s="115">
        <v>11</v>
      </c>
      <c r="R80" s="116">
        <v>48000</v>
      </c>
      <c r="S80" s="146">
        <f>Таблица_навык_маскировка[[#This Row],[опыт]]+S79</f>
        <v>166000</v>
      </c>
      <c r="T80" s="268">
        <v>3</v>
      </c>
      <c r="U80" s="302">
        <f>Таблица_навык_маскировка[[#This Row],[маскировка2]]+U79</f>
        <v>23</v>
      </c>
      <c r="W80" s="150">
        <v>11</v>
      </c>
      <c r="X80" s="116">
        <v>107000</v>
      </c>
      <c r="Y80" s="146">
        <f>Таблица_навык_крит._уклонение[[#This Row],[опыт]]+Y79</f>
        <v>501000</v>
      </c>
      <c r="Z80" s="268">
        <v>4</v>
      </c>
      <c r="AA80" s="308">
        <f>Таблица_навык_крит._уклонение[[#This Row],[крит.уклонение2]]+AA79</f>
        <v>44</v>
      </c>
      <c r="AE80" s="115">
        <v>21</v>
      </c>
      <c r="AF80" s="153">
        <v>367000</v>
      </c>
      <c r="AG80" s="146">
        <f>Таблица_навык_допинг[[#This Row],[опыт]]+AG79</f>
        <v>1623000</v>
      </c>
      <c r="AH80" s="268"/>
      <c r="AI80" s="308">
        <f>Таблица_навык_допинг[[#This Row],[ОД на стим]]+AI79</f>
        <v>-5</v>
      </c>
      <c r="AJ80" s="268"/>
      <c r="AK80" s="308">
        <f>+Таблица_навык_допинг[[#This Row],[Интоксикация]]+AK79</f>
        <v>15</v>
      </c>
      <c r="AL80" s="262">
        <v>0.01</v>
      </c>
      <c r="AM80" s="322">
        <f>Таблица_навык_допинг[[#This Row],[эфф .стим.]]+AM79</f>
        <v>0.08</v>
      </c>
      <c r="AN80" s="268"/>
      <c r="AO80" s="308">
        <f>Таблица_навык_допинг[[#This Row],[дительность]]+AO79</f>
        <v>0</v>
      </c>
      <c r="AQ80" s="147">
        <v>5</v>
      </c>
      <c r="AR80" s="132">
        <v>8000</v>
      </c>
      <c r="AS80" s="146">
        <f>Таблица_навык_турист[[#This Row],[опыт ]]+AS79</f>
        <v>19000</v>
      </c>
      <c r="AT80" s="305">
        <v>3</v>
      </c>
      <c r="AU80" s="308">
        <f>Таблица_навык_турист[[#This Row],[грузоподъемность]]+AU79</f>
        <v>15</v>
      </c>
      <c r="BA80" s="115">
        <v>21</v>
      </c>
      <c r="BB80" s="116">
        <v>1663000</v>
      </c>
      <c r="BC80" s="146">
        <f>Таблица_тренинг_Л[[#This Row],[опыт]]+BC79</f>
        <v>6094000</v>
      </c>
      <c r="BD80" s="262">
        <v>0.08</v>
      </c>
      <c r="BE80" s="322">
        <f>Таблица_тренинг_Л[[#This Row],[ловкость2]]+BE79</f>
        <v>1.6800000000000004</v>
      </c>
      <c r="BG80" s="175">
        <v>15</v>
      </c>
      <c r="BH80" s="178">
        <v>379000</v>
      </c>
      <c r="BI80" s="179">
        <f>Таблица_навык_производство[[#This Row],[опыт]]+BI79</f>
        <v>1367000</v>
      </c>
      <c r="BJ80" s="172">
        <v>-0.04</v>
      </c>
      <c r="BK80" s="242">
        <f>Таблица_навык_производство[[#This Row],[скорость производства]]+BK79</f>
        <v>-0.6</v>
      </c>
      <c r="BM80" s="227">
        <v>21</v>
      </c>
      <c r="BN80" s="219">
        <v>1663000</v>
      </c>
      <c r="BO80" s="255">
        <f>Таблица_навык_охотник[[#This Row],[опыт]]+BO79</f>
        <v>6094000</v>
      </c>
      <c r="BP80" s="172">
        <v>7.0000000000000007E-2</v>
      </c>
      <c r="BQ80" s="234">
        <f>Таблица_навык_охотник[[#This Row],[скорость]]+BQ79</f>
        <v>0.25</v>
      </c>
      <c r="BR80" s="251"/>
      <c r="BS80" s="252">
        <f>Таблица_навык_охотник[[#This Row],[эфф.апт]]+BS79</f>
        <v>0.14000000000000001</v>
      </c>
      <c r="BT80" s="251"/>
      <c r="BU80" s="252">
        <f>Таблица_навык_охотник[[#This Row],[крит.поп. Монстры]]+BU79</f>
        <v>0.1</v>
      </c>
      <c r="BV80" s="251"/>
      <c r="BW80" s="252">
        <f>Таблица_навык_охотник[[#This Row],[крит.урон по монстрам]]+BW79</f>
        <v>0.14000000000000001</v>
      </c>
      <c r="BX80" s="251"/>
      <c r="BY80" s="252">
        <f>Таблица_навык_охотник[[#This Row],[урон по монстрам]]+BY79</f>
        <v>0.1</v>
      </c>
    </row>
    <row r="81" spans="1:77" x14ac:dyDescent="0.25">
      <c r="A81" s="117">
        <v>12</v>
      </c>
      <c r="B81" s="116">
        <v>52000</v>
      </c>
      <c r="C81" s="128">
        <f>Таблица_навык_точность[[#This Row],[опыт]]+C80</f>
        <v>192000</v>
      </c>
      <c r="D81" s="260">
        <v>2.5000000000000001E-2</v>
      </c>
      <c r="E81" s="261">
        <f>Таблица_навык_точность[[#This Row],[точность ]]+E80</f>
        <v>0.32500000000000001</v>
      </c>
      <c r="G81" s="117">
        <v>12</v>
      </c>
      <c r="H81" s="116">
        <v>130000</v>
      </c>
      <c r="I81" s="128">
        <f>Таблица_навык_крит._попадание[[#This Row],[опыт]]+I80</f>
        <v>631000</v>
      </c>
      <c r="J81" s="262">
        <v>0.04</v>
      </c>
      <c r="K81" s="261">
        <f>Таблица_навык_крит._попадание[[#This Row],[крит. Попадание]]+K80</f>
        <v>0.52999999999999992</v>
      </c>
      <c r="Q81" s="115">
        <v>12</v>
      </c>
      <c r="R81" s="116">
        <v>66000</v>
      </c>
      <c r="S81" s="146">
        <f>Таблица_навык_маскировка[[#This Row],[опыт]]+S80</f>
        <v>232000</v>
      </c>
      <c r="T81" s="268">
        <v>3</v>
      </c>
      <c r="U81" s="302">
        <f>Таблица_навык_маскировка[[#This Row],[маскировка2]]+U80</f>
        <v>26</v>
      </c>
      <c r="W81" s="150">
        <v>12</v>
      </c>
      <c r="X81" s="116">
        <v>130000</v>
      </c>
      <c r="Y81" s="146">
        <f>Таблица_навык_крит._уклонение[[#This Row],[опыт]]+Y80</f>
        <v>631000</v>
      </c>
      <c r="Z81" s="268">
        <v>4</v>
      </c>
      <c r="AA81" s="308">
        <f>Таблица_навык_крит._уклонение[[#This Row],[крит.уклонение2]]+AA80</f>
        <v>48</v>
      </c>
      <c r="AE81" s="115">
        <v>22</v>
      </c>
      <c r="AF81" s="144">
        <v>468000</v>
      </c>
      <c r="AG81" s="146">
        <f>Таблица_навык_допинг[[#This Row],[опыт]]+AG80</f>
        <v>2091000</v>
      </c>
      <c r="AH81" s="268"/>
      <c r="AI81" s="308">
        <f>Таблица_навык_допинг[[#This Row],[ОД на стим]]+AI80</f>
        <v>-5</v>
      </c>
      <c r="AJ81" s="268">
        <v>1</v>
      </c>
      <c r="AK81" s="308">
        <f>+Таблица_навык_допинг[[#This Row],[Интоксикация]]+AK80</f>
        <v>16</v>
      </c>
      <c r="AL81" s="262"/>
      <c r="AM81" s="322">
        <f>Таблица_навык_допинг[[#This Row],[эфф .стим.]]+AM80</f>
        <v>0.08</v>
      </c>
      <c r="AN81" s="268"/>
      <c r="AO81" s="308">
        <f>Таблица_навык_допинг[[#This Row],[дительность]]+AO80</f>
        <v>0</v>
      </c>
      <c r="AQ81" s="115">
        <v>6</v>
      </c>
      <c r="AR81" s="132">
        <v>10000</v>
      </c>
      <c r="AS81" s="146">
        <f>Таблица_навык_турист[[#This Row],[опыт ]]+AS80</f>
        <v>29000</v>
      </c>
      <c r="AT81" s="305">
        <v>3</v>
      </c>
      <c r="AU81" s="308">
        <f>Таблица_навык_турист[[#This Row],[грузоподъемность]]+AU80</f>
        <v>18</v>
      </c>
      <c r="BA81" s="115">
        <v>22</v>
      </c>
      <c r="BB81" s="116">
        <v>2270000</v>
      </c>
      <c r="BC81" s="146">
        <f>Таблица_тренинг_Л[[#This Row],[опыт]]+BC80</f>
        <v>8364000</v>
      </c>
      <c r="BD81" s="262">
        <v>0.08</v>
      </c>
      <c r="BE81" s="322">
        <f>Таблица_тренинг_Л[[#This Row],[ловкость2]]+BE80</f>
        <v>1.7600000000000005</v>
      </c>
      <c r="BG81" s="175">
        <v>16</v>
      </c>
      <c r="BH81" s="178">
        <v>514000</v>
      </c>
      <c r="BI81" s="179">
        <f>Таблица_навык_производство[[#This Row],[опыт]]+BI80</f>
        <v>1881000</v>
      </c>
      <c r="BJ81" s="172">
        <v>-0.05</v>
      </c>
      <c r="BK81" s="242">
        <f>Таблица_навык_производство[[#This Row],[скорость производства]]+BK80</f>
        <v>-0.65</v>
      </c>
      <c r="BM81" s="227">
        <v>22</v>
      </c>
      <c r="BN81" s="219">
        <v>2270000</v>
      </c>
      <c r="BO81" s="255">
        <f>Таблица_навык_охотник[[#This Row],[опыт]]+BO80</f>
        <v>8364000</v>
      </c>
      <c r="BP81" s="172"/>
      <c r="BQ81" s="234">
        <f>Таблица_навык_охотник[[#This Row],[скорость]]+BQ80</f>
        <v>0.25</v>
      </c>
      <c r="BR81" s="251">
        <v>0.06</v>
      </c>
      <c r="BS81" s="252">
        <f>Таблица_навык_охотник[[#This Row],[эфф.апт]]+BS80</f>
        <v>0.2</v>
      </c>
      <c r="BT81" s="251"/>
      <c r="BU81" s="252">
        <f>Таблица_навык_охотник[[#This Row],[крит.поп. Монстры]]+BU80</f>
        <v>0.1</v>
      </c>
      <c r="BV81" s="251"/>
      <c r="BW81" s="252">
        <f>Таблица_навык_охотник[[#This Row],[крит.урон по монстрам]]+BW80</f>
        <v>0.14000000000000001</v>
      </c>
      <c r="BX81" s="251"/>
      <c r="BY81" s="252">
        <f>Таблица_навык_охотник[[#This Row],[урон по монстрам]]+BY80</f>
        <v>0.1</v>
      </c>
    </row>
    <row r="82" spans="1:77" x14ac:dyDescent="0.25">
      <c r="A82" s="117">
        <v>13</v>
      </c>
      <c r="B82" s="116">
        <v>70000</v>
      </c>
      <c r="C82" s="128">
        <f>Таблица_навык_точность[[#This Row],[опыт]]+C81</f>
        <v>262000</v>
      </c>
      <c r="D82" s="260">
        <v>2.5000000000000001E-2</v>
      </c>
      <c r="E82" s="261">
        <f>Таблица_навык_точность[[#This Row],[точность ]]+E81</f>
        <v>0.35000000000000003</v>
      </c>
      <c r="G82" s="117">
        <v>13</v>
      </c>
      <c r="H82" s="116">
        <v>158000</v>
      </c>
      <c r="I82" s="128">
        <f>Таблица_навык_крит._попадание[[#This Row],[опыт]]+I81</f>
        <v>789000</v>
      </c>
      <c r="J82" s="262">
        <v>0.04</v>
      </c>
      <c r="K82" s="261">
        <f>Таблица_навык_крит._попадание[[#This Row],[крит. Попадание]]+K81</f>
        <v>0.56999999999999995</v>
      </c>
      <c r="Q82" s="115">
        <v>13</v>
      </c>
      <c r="R82" s="116">
        <v>90000</v>
      </c>
      <c r="S82" s="146">
        <f>Таблица_навык_маскировка[[#This Row],[опыт]]+S81</f>
        <v>322000</v>
      </c>
      <c r="T82" s="268">
        <v>3</v>
      </c>
      <c r="U82" s="302">
        <f>Таблица_навык_маскировка[[#This Row],[маскировка2]]+U81</f>
        <v>29</v>
      </c>
      <c r="W82" s="150">
        <v>13</v>
      </c>
      <c r="X82" s="116">
        <v>158000</v>
      </c>
      <c r="Y82" s="146">
        <f>Таблица_навык_крит._уклонение[[#This Row],[опыт]]+Y81</f>
        <v>789000</v>
      </c>
      <c r="Z82" s="268">
        <v>4</v>
      </c>
      <c r="AA82" s="308">
        <f>Таблица_навык_крит._уклонение[[#This Row],[крит.уклонение2]]+AA81</f>
        <v>52</v>
      </c>
      <c r="AE82" s="115">
        <v>23</v>
      </c>
      <c r="AF82" s="153">
        <v>598000</v>
      </c>
      <c r="AG82" s="146">
        <f>Таблица_навык_допинг[[#This Row],[опыт]]+AG81</f>
        <v>2689000</v>
      </c>
      <c r="AH82" s="268"/>
      <c r="AI82" s="308">
        <f>Таблица_навык_допинг[[#This Row],[ОД на стим]]+AI81</f>
        <v>-5</v>
      </c>
      <c r="AJ82" s="268"/>
      <c r="AK82" s="308">
        <f>+Таблица_навык_допинг[[#This Row],[Интоксикация]]+AK81</f>
        <v>16</v>
      </c>
      <c r="AL82" s="262">
        <v>0.01</v>
      </c>
      <c r="AM82" s="322">
        <f>Таблица_навык_допинг[[#This Row],[эфф .стим.]]+AM81</f>
        <v>0.09</v>
      </c>
      <c r="AN82" s="268"/>
      <c r="AO82" s="308">
        <f>Таблица_навык_допинг[[#This Row],[дительность]]+AO81</f>
        <v>0</v>
      </c>
      <c r="AQ82" s="147">
        <v>7</v>
      </c>
      <c r="AR82" s="132">
        <v>15000</v>
      </c>
      <c r="AS82" s="146">
        <f>Таблица_навык_турист[[#This Row],[опыт ]]+AS81</f>
        <v>44000</v>
      </c>
      <c r="AT82" s="305">
        <v>3</v>
      </c>
      <c r="AU82" s="308">
        <f>Таблица_навык_турист[[#This Row],[грузоподъемность]]+AU81</f>
        <v>21</v>
      </c>
      <c r="BA82" s="115">
        <v>23</v>
      </c>
      <c r="BB82" s="116">
        <v>3090000</v>
      </c>
      <c r="BC82" s="146">
        <f>Таблица_тренинг_Л[[#This Row],[опыт]]+BC81</f>
        <v>11454000</v>
      </c>
      <c r="BD82" s="262">
        <v>0.08</v>
      </c>
      <c r="BE82" s="322">
        <f>Таблица_тренинг_Л[[#This Row],[ловкость2]]+BE81</f>
        <v>1.8400000000000005</v>
      </c>
      <c r="BG82" s="175">
        <v>17</v>
      </c>
      <c r="BH82" s="178">
        <v>697000</v>
      </c>
      <c r="BI82" s="179">
        <f>Таблица_навык_производство[[#This Row],[опыт]]+BI81</f>
        <v>2578000</v>
      </c>
      <c r="BJ82" s="172">
        <v>-0.05</v>
      </c>
      <c r="BK82" s="242">
        <f>Таблица_навык_производство[[#This Row],[скорость производства]]+BK81</f>
        <v>-0.70000000000000007</v>
      </c>
      <c r="BM82" s="227">
        <v>23</v>
      </c>
      <c r="BN82" s="219">
        <v>3090000</v>
      </c>
      <c r="BO82" s="255">
        <f>Таблица_навык_охотник[[#This Row],[опыт]]+BO81</f>
        <v>11454000</v>
      </c>
      <c r="BP82" s="172"/>
      <c r="BQ82" s="234">
        <f>Таблица_навык_охотник[[#This Row],[скорость]]+BQ81</f>
        <v>0.25</v>
      </c>
      <c r="BR82" s="251"/>
      <c r="BS82" s="252">
        <f>Таблица_навык_охотник[[#This Row],[эфф.апт]]+BS81</f>
        <v>0.2</v>
      </c>
      <c r="BT82" s="251">
        <v>0.05</v>
      </c>
      <c r="BU82" s="252">
        <f>Таблица_навык_охотник[[#This Row],[крит.поп. Монстры]]+BU81</f>
        <v>0.15000000000000002</v>
      </c>
      <c r="BV82" s="251"/>
      <c r="BW82" s="252">
        <f>Таблица_навык_охотник[[#This Row],[крит.урон по монстрам]]+BW81</f>
        <v>0.14000000000000001</v>
      </c>
      <c r="BX82" s="251"/>
      <c r="BY82" s="252">
        <f>Таблица_навык_охотник[[#This Row],[урон по монстрам]]+BY81</f>
        <v>0.1</v>
      </c>
    </row>
    <row r="83" spans="1:77" x14ac:dyDescent="0.25">
      <c r="A83" s="117">
        <v>14</v>
      </c>
      <c r="B83" s="116">
        <v>94000</v>
      </c>
      <c r="C83" s="128">
        <f>Таблица_навык_точность[[#This Row],[опыт]]+C82</f>
        <v>356000</v>
      </c>
      <c r="D83" s="260">
        <v>2.5000000000000001E-2</v>
      </c>
      <c r="E83" s="261">
        <f>Таблица_навык_точность[[#This Row],[точность ]]+E82</f>
        <v>0.37500000000000006</v>
      </c>
      <c r="G83" s="117">
        <v>14</v>
      </c>
      <c r="H83" s="116">
        <v>191000</v>
      </c>
      <c r="I83" s="128">
        <f>Таблица_навык_крит._попадание[[#This Row],[опыт]]+I82</f>
        <v>980000</v>
      </c>
      <c r="J83" s="262">
        <v>0.04</v>
      </c>
      <c r="K83" s="261">
        <f>Таблица_навык_крит._попадание[[#This Row],[крит. Попадание]]+K82</f>
        <v>0.61</v>
      </c>
      <c r="Q83" s="115">
        <v>14</v>
      </c>
      <c r="R83" s="116">
        <v>122000</v>
      </c>
      <c r="S83" s="146">
        <f>Таблица_навык_маскировка[[#This Row],[опыт]]+S82</f>
        <v>444000</v>
      </c>
      <c r="T83" s="268">
        <v>3</v>
      </c>
      <c r="U83" s="302">
        <f>Таблица_навык_маскировка[[#This Row],[маскировка2]]+U82</f>
        <v>32</v>
      </c>
      <c r="W83" s="150">
        <v>14</v>
      </c>
      <c r="X83" s="116">
        <v>191000</v>
      </c>
      <c r="Y83" s="146">
        <f>Таблица_навык_крит._уклонение[[#This Row],[опыт]]+Y82</f>
        <v>980000</v>
      </c>
      <c r="Z83" s="268">
        <v>4</v>
      </c>
      <c r="AA83" s="308">
        <f>Таблица_навык_крит._уклонение[[#This Row],[крит.уклонение2]]+AA82</f>
        <v>56</v>
      </c>
      <c r="AE83" s="115">
        <v>24</v>
      </c>
      <c r="AF83" s="144">
        <v>762000</v>
      </c>
      <c r="AG83" s="146">
        <f>Таблица_навык_допинг[[#This Row],[опыт]]+AG82</f>
        <v>3451000</v>
      </c>
      <c r="AH83" s="268"/>
      <c r="AI83" s="308">
        <f>Таблица_навык_допинг[[#This Row],[ОД на стим]]+AI82</f>
        <v>-5</v>
      </c>
      <c r="AJ83" s="268">
        <v>1</v>
      </c>
      <c r="AK83" s="308">
        <f>+Таблица_навык_допинг[[#This Row],[Интоксикация]]+AK82</f>
        <v>17</v>
      </c>
      <c r="AL83" s="262"/>
      <c r="AM83" s="322">
        <f>Таблица_навык_допинг[[#This Row],[эфф .стим.]]+AM82</f>
        <v>0.09</v>
      </c>
      <c r="AN83" s="268"/>
      <c r="AO83" s="308">
        <f>Таблица_навык_допинг[[#This Row],[дительность]]+AO82</f>
        <v>0</v>
      </c>
      <c r="AQ83" s="115">
        <v>8</v>
      </c>
      <c r="AR83" s="132">
        <v>22000</v>
      </c>
      <c r="AS83" s="146">
        <f>Таблица_навык_турист[[#This Row],[опыт ]]+AS82</f>
        <v>66000</v>
      </c>
      <c r="AT83" s="305">
        <v>3</v>
      </c>
      <c r="AU83" s="308">
        <f>Таблица_навык_турист[[#This Row],[грузоподъемность]]+AU82</f>
        <v>24</v>
      </c>
      <c r="BA83" s="115">
        <v>24</v>
      </c>
      <c r="BB83" s="116">
        <v>4203000</v>
      </c>
      <c r="BC83" s="146">
        <f>Таблица_тренинг_Л[[#This Row],[опыт]]+BC82</f>
        <v>15657000</v>
      </c>
      <c r="BD83" s="262">
        <v>0.08</v>
      </c>
      <c r="BE83" s="322">
        <f>Таблица_тренинг_Л[[#This Row],[ловкость2]]+BE82</f>
        <v>1.9200000000000006</v>
      </c>
      <c r="BG83" s="175">
        <v>18</v>
      </c>
      <c r="BH83" s="178">
        <v>944000</v>
      </c>
      <c r="BI83" s="179">
        <f>Таблица_навык_производство[[#This Row],[опыт]]+BI82</f>
        <v>3522000</v>
      </c>
      <c r="BJ83" s="172">
        <v>-0.05</v>
      </c>
      <c r="BK83" s="242">
        <f>Таблица_навык_производство[[#This Row],[скорость производства]]+BK82</f>
        <v>-0.75000000000000011</v>
      </c>
      <c r="BM83" s="227">
        <v>24</v>
      </c>
      <c r="BN83" s="219">
        <v>4203000</v>
      </c>
      <c r="BO83" s="255">
        <f>Таблица_навык_охотник[[#This Row],[опыт]]+BO82</f>
        <v>15657000</v>
      </c>
      <c r="BP83" s="172"/>
      <c r="BQ83" s="234">
        <f>Таблица_навык_охотник[[#This Row],[скорость]]+BQ82</f>
        <v>0.25</v>
      </c>
      <c r="BR83" s="251"/>
      <c r="BS83" s="252">
        <f>Таблица_навык_охотник[[#This Row],[эфф.апт]]+BS82</f>
        <v>0.2</v>
      </c>
      <c r="BT83" s="251"/>
      <c r="BU83" s="252">
        <f>Таблица_навык_охотник[[#This Row],[крит.поп. Монстры]]+BU82</f>
        <v>0.15000000000000002</v>
      </c>
      <c r="BV83" s="251">
        <v>0.06</v>
      </c>
      <c r="BW83" s="252">
        <f>Таблица_навык_охотник[[#This Row],[крит.урон по монстрам]]+BW82</f>
        <v>0.2</v>
      </c>
      <c r="BX83" s="251"/>
      <c r="BY83" s="252">
        <f>Таблица_навык_охотник[[#This Row],[урон по монстрам]]+BY82</f>
        <v>0.1</v>
      </c>
    </row>
    <row r="84" spans="1:77" ht="16.5" thickBot="1" x14ac:dyDescent="0.3">
      <c r="A84" s="115">
        <v>15</v>
      </c>
      <c r="B84" s="116">
        <v>124000</v>
      </c>
      <c r="C84" s="128">
        <f>Таблица_навык_точность[[#This Row],[опыт]]+C83</f>
        <v>480000</v>
      </c>
      <c r="D84" s="260">
        <v>2.5000000000000001E-2</v>
      </c>
      <c r="E84" s="261">
        <f>Таблица_навык_точность[[#This Row],[точность ]]+E83</f>
        <v>0.40000000000000008</v>
      </c>
      <c r="G84" s="115">
        <v>15</v>
      </c>
      <c r="H84" s="116">
        <v>230000</v>
      </c>
      <c r="I84" s="128">
        <f>Таблица_навык_крит._попадание[[#This Row],[опыт]]+I83</f>
        <v>1210000</v>
      </c>
      <c r="J84" s="262">
        <v>0.04</v>
      </c>
      <c r="K84" s="261">
        <f>Таблица_навык_крит._попадание[[#This Row],[крит. Попадание]]+K83</f>
        <v>0.65</v>
      </c>
      <c r="Q84" s="115">
        <v>15</v>
      </c>
      <c r="R84" s="116">
        <v>164000</v>
      </c>
      <c r="S84" s="146">
        <f>Таблица_навык_маскировка[[#This Row],[опыт]]+S83</f>
        <v>608000</v>
      </c>
      <c r="T84" s="268">
        <v>3</v>
      </c>
      <c r="U84" s="302">
        <f>Таблица_навык_маскировка[[#This Row],[маскировка2]]+U83</f>
        <v>35</v>
      </c>
      <c r="W84" s="150">
        <v>15</v>
      </c>
      <c r="X84" s="116">
        <v>230000</v>
      </c>
      <c r="Y84" s="146">
        <f>Таблица_навык_крит._уклонение[[#This Row],[опыт]]+Y83</f>
        <v>1210000</v>
      </c>
      <c r="Z84" s="268">
        <v>4</v>
      </c>
      <c r="AA84" s="308">
        <f>Таблица_навык_крит._уклонение[[#This Row],[крит.уклонение2]]+AA83</f>
        <v>60</v>
      </c>
      <c r="AE84" s="115">
        <v>25</v>
      </c>
      <c r="AF84" s="153">
        <v>970000</v>
      </c>
      <c r="AG84" s="146">
        <f>Таблица_навык_допинг[[#This Row],[опыт]]+AG83</f>
        <v>4421000</v>
      </c>
      <c r="AH84" s="268"/>
      <c r="AI84" s="308">
        <f>Таблица_навык_допинг[[#This Row],[ОД на стим]]+AI83</f>
        <v>-5</v>
      </c>
      <c r="AJ84" s="268"/>
      <c r="AK84" s="308">
        <f>+Таблица_навык_допинг[[#This Row],[Интоксикация]]+AK83</f>
        <v>17</v>
      </c>
      <c r="AL84" s="262">
        <v>0.01</v>
      </c>
      <c r="AM84" s="322">
        <f>Таблица_навык_допинг[[#This Row],[эфф .стим.]]+AM83</f>
        <v>9.9999999999999992E-2</v>
      </c>
      <c r="AN84" s="268"/>
      <c r="AO84" s="308">
        <f>Таблица_навык_допинг[[#This Row],[дительность]]+AO83</f>
        <v>0</v>
      </c>
      <c r="AQ84" s="147">
        <v>9</v>
      </c>
      <c r="AR84" s="132">
        <v>30000</v>
      </c>
      <c r="AS84" s="146">
        <f>Таблица_навык_турист[[#This Row],[опыт ]]+AS83</f>
        <v>96000</v>
      </c>
      <c r="AT84" s="305">
        <v>3</v>
      </c>
      <c r="AU84" s="308">
        <f>Таблица_навык_турист[[#This Row],[грузоподъемность]]+AU83</f>
        <v>27</v>
      </c>
      <c r="BA84" s="118">
        <v>25</v>
      </c>
      <c r="BB84" s="119">
        <v>5709000</v>
      </c>
      <c r="BC84" s="274">
        <f>Таблица_тренинг_Л[[#This Row],[опыт]]+BC83</f>
        <v>21366000</v>
      </c>
      <c r="BD84" s="263">
        <v>0.08</v>
      </c>
      <c r="BE84" s="323">
        <f>Таблица_тренинг_Л[[#This Row],[ловкость2]]+BE83</f>
        <v>2.0000000000000004</v>
      </c>
      <c r="BG84" s="175">
        <v>19</v>
      </c>
      <c r="BH84" s="178">
        <v>1274000</v>
      </c>
      <c r="BI84" s="179">
        <f>Таблица_навык_производство[[#This Row],[опыт]]+BI83</f>
        <v>4796000</v>
      </c>
      <c r="BJ84" s="172">
        <v>-0.05</v>
      </c>
      <c r="BK84" s="242">
        <f>Таблица_навык_производство[[#This Row],[скорость производства]]+BK83</f>
        <v>-0.80000000000000016</v>
      </c>
      <c r="BM84" s="228">
        <v>25</v>
      </c>
      <c r="BN84" s="229">
        <v>5709000</v>
      </c>
      <c r="BO84" s="256">
        <f>Таблица_навык_охотник[[#This Row],[опыт]]+BO83</f>
        <v>21366000</v>
      </c>
      <c r="BP84" s="173"/>
      <c r="BQ84" s="235">
        <f>Таблица_навык_охотник[[#This Row],[скорость]]+BQ83</f>
        <v>0.25</v>
      </c>
      <c r="BR84" s="253"/>
      <c r="BS84" s="254">
        <f>Таблица_навык_охотник[[#This Row],[эфф.апт]]+BS83</f>
        <v>0.2</v>
      </c>
      <c r="BT84" s="253"/>
      <c r="BU84" s="254">
        <f>Таблица_навык_охотник[[#This Row],[крит.поп. Монстры]]+BU83</f>
        <v>0.15000000000000002</v>
      </c>
      <c r="BV84" s="253"/>
      <c r="BW84" s="254">
        <f>Таблица_навык_охотник[[#This Row],[крит.урон по монстрам]]+BW83</f>
        <v>0.2</v>
      </c>
      <c r="BX84" s="253">
        <v>0.05</v>
      </c>
      <c r="BY84" s="254">
        <f>Таблица_навык_охотник[[#This Row],[урон по монстрам]]+BY83</f>
        <v>0.15000000000000002</v>
      </c>
    </row>
    <row r="85" spans="1:77" ht="16.5" thickBot="1" x14ac:dyDescent="0.3">
      <c r="A85" s="115">
        <v>16</v>
      </c>
      <c r="B85" s="116">
        <v>166000</v>
      </c>
      <c r="C85" s="128">
        <f>Таблица_навык_точность[[#This Row],[опыт]]+C84</f>
        <v>646000</v>
      </c>
      <c r="D85" s="260">
        <v>2.5000000000000001E-2</v>
      </c>
      <c r="E85" s="261">
        <f>Таблица_навык_точность[[#This Row],[точность ]]+E84</f>
        <v>0.4250000000000001</v>
      </c>
      <c r="G85" s="115">
        <v>16</v>
      </c>
      <c r="H85" s="116">
        <v>276000</v>
      </c>
      <c r="I85" s="128">
        <f>Таблица_навык_крит._попадание[[#This Row],[опыт]]+I84</f>
        <v>1486000</v>
      </c>
      <c r="J85" s="262">
        <v>0.04</v>
      </c>
      <c r="K85" s="261">
        <f>Таблица_навык_крит._попадание[[#This Row],[крит. Попадание]]+K84</f>
        <v>0.69000000000000006</v>
      </c>
      <c r="Q85" s="115">
        <v>16</v>
      </c>
      <c r="R85" s="116">
        <v>223000</v>
      </c>
      <c r="S85" s="146">
        <f>Таблица_навык_маскировка[[#This Row],[опыт]]+S84</f>
        <v>831000</v>
      </c>
      <c r="T85" s="268">
        <v>3</v>
      </c>
      <c r="U85" s="302">
        <f>Таблица_навык_маскировка[[#This Row],[маскировка2]]+U84</f>
        <v>38</v>
      </c>
      <c r="W85" s="150">
        <v>16</v>
      </c>
      <c r="X85" s="116">
        <v>276000</v>
      </c>
      <c r="Y85" s="146">
        <f>Таблица_навык_крит._уклонение[[#This Row],[опыт]]+Y84</f>
        <v>1486000</v>
      </c>
      <c r="Z85" s="268">
        <v>5</v>
      </c>
      <c r="AA85" s="308">
        <f>Таблица_навык_крит._уклонение[[#This Row],[крит.уклонение2]]+AA84</f>
        <v>65</v>
      </c>
      <c r="AE85" s="115">
        <v>26</v>
      </c>
      <c r="AF85" s="144">
        <v>1235000</v>
      </c>
      <c r="AG85" s="146">
        <f>Таблица_навык_допинг[[#This Row],[опыт]]+AG84</f>
        <v>5656000</v>
      </c>
      <c r="AH85" s="268"/>
      <c r="AI85" s="308">
        <f>Таблица_навык_допинг[[#This Row],[ОД на стим]]+AI84</f>
        <v>-5</v>
      </c>
      <c r="AJ85" s="268"/>
      <c r="AK85" s="308">
        <f>+Таблица_навык_допинг[[#This Row],[Интоксикация]]+AK84</f>
        <v>17</v>
      </c>
      <c r="AL85" s="262"/>
      <c r="AM85" s="322">
        <f>Таблица_навык_допинг[[#This Row],[эфф .стим.]]+AM84</f>
        <v>9.9999999999999992E-2</v>
      </c>
      <c r="AN85" s="268">
        <v>1</v>
      </c>
      <c r="AO85" s="308">
        <f>Таблица_навык_допинг[[#This Row],[дительность]]+AO84</f>
        <v>1</v>
      </c>
      <c r="AQ85" s="117">
        <v>10</v>
      </c>
      <c r="AR85" s="132">
        <v>43000</v>
      </c>
      <c r="AS85" s="146">
        <f>Таблица_навык_турист[[#This Row],[опыт ]]+AS84</f>
        <v>139000</v>
      </c>
      <c r="AT85" s="305">
        <v>3</v>
      </c>
      <c r="AU85" s="308">
        <f>Таблица_навык_турист[[#This Row],[грузоподъемность]]+AU84</f>
        <v>30</v>
      </c>
      <c r="BG85" s="215">
        <v>20</v>
      </c>
      <c r="BH85" s="180">
        <v>1717000</v>
      </c>
      <c r="BI85" s="181">
        <f>Таблица_навык_производство[[#This Row],[опыт]]+BI84</f>
        <v>6513000</v>
      </c>
      <c r="BJ85" s="214">
        <v>-0.05</v>
      </c>
      <c r="BK85" s="243">
        <f>Таблица_навык_производство[[#This Row],[скорость производства]]+BK84</f>
        <v>-0.8500000000000002</v>
      </c>
    </row>
    <row r="86" spans="1:77" x14ac:dyDescent="0.25">
      <c r="A86" s="115">
        <v>17</v>
      </c>
      <c r="B86" s="116">
        <v>218000</v>
      </c>
      <c r="C86" s="128">
        <f>Таблица_навык_точность[[#This Row],[опыт]]+C85</f>
        <v>864000</v>
      </c>
      <c r="D86" s="260">
        <v>2.5000000000000001E-2</v>
      </c>
      <c r="E86" s="261">
        <f>Таблица_навык_точность[[#This Row],[точность ]]+E85</f>
        <v>0.45000000000000012</v>
      </c>
      <c r="G86" s="115">
        <v>17</v>
      </c>
      <c r="H86" s="116">
        <v>332000</v>
      </c>
      <c r="I86" s="128">
        <f>Таблица_навык_крит._попадание[[#This Row],[опыт]]+I85</f>
        <v>1818000</v>
      </c>
      <c r="J86" s="262">
        <v>0.04</v>
      </c>
      <c r="K86" s="261">
        <f>Таблица_навык_крит._попадание[[#This Row],[крит. Попадание]]+K85</f>
        <v>0.73000000000000009</v>
      </c>
      <c r="Q86" s="115">
        <v>17</v>
      </c>
      <c r="R86" s="116">
        <v>299000</v>
      </c>
      <c r="S86" s="146">
        <f>Таблица_навык_маскировка[[#This Row],[опыт]]+S85</f>
        <v>1130000</v>
      </c>
      <c r="T86" s="268">
        <v>3</v>
      </c>
      <c r="U86" s="302">
        <f>Таблица_навык_маскировка[[#This Row],[маскировка2]]+U85</f>
        <v>41</v>
      </c>
      <c r="W86" s="150">
        <v>17</v>
      </c>
      <c r="X86" s="116">
        <v>332000</v>
      </c>
      <c r="Y86" s="146">
        <f>Таблица_навык_крит._уклонение[[#This Row],[опыт]]+Y85</f>
        <v>1818000</v>
      </c>
      <c r="Z86" s="268">
        <v>5</v>
      </c>
      <c r="AA86" s="308">
        <f>Таблица_навык_крит._уклонение[[#This Row],[крит.уклонение2]]+AA85</f>
        <v>70</v>
      </c>
      <c r="AE86" s="115">
        <v>27</v>
      </c>
      <c r="AF86" s="153">
        <v>1568000</v>
      </c>
      <c r="AG86" s="146">
        <f>Таблица_навык_допинг[[#This Row],[опыт]]+AG85</f>
        <v>7224000</v>
      </c>
      <c r="AH86" s="268"/>
      <c r="AI86" s="308">
        <f>Таблица_навык_допинг[[#This Row],[ОД на стим]]+AI85</f>
        <v>-5</v>
      </c>
      <c r="AJ86" s="268"/>
      <c r="AK86" s="308">
        <f>+Таблица_навык_допинг[[#This Row],[Интоксикация]]+AK85</f>
        <v>17</v>
      </c>
      <c r="AL86" s="262"/>
      <c r="AM86" s="322">
        <f>Таблица_навык_допинг[[#This Row],[эфф .стим.]]+AM85</f>
        <v>9.9999999999999992E-2</v>
      </c>
      <c r="AN86" s="268">
        <v>1</v>
      </c>
      <c r="AO86" s="308">
        <f>Таблица_навык_допинг[[#This Row],[дительность]]+AO85</f>
        <v>2</v>
      </c>
      <c r="AQ86" s="159">
        <v>11</v>
      </c>
      <c r="AR86" s="132">
        <v>59000</v>
      </c>
      <c r="AS86" s="146">
        <f>Таблица_навык_турист[[#This Row],[опыт ]]+AS85</f>
        <v>198000</v>
      </c>
      <c r="AT86" s="305">
        <v>4</v>
      </c>
      <c r="AU86" s="308">
        <f>Таблица_навык_турист[[#This Row],[грузоподъемность]]+AU85</f>
        <v>34</v>
      </c>
      <c r="BA86" s="111" t="s">
        <v>149</v>
      </c>
      <c r="BB86" s="112" t="s">
        <v>153</v>
      </c>
      <c r="BC86" s="339" t="s">
        <v>495</v>
      </c>
      <c r="BD86" s="340" t="s">
        <v>542</v>
      </c>
      <c r="BE86" s="269" t="s">
        <v>496</v>
      </c>
    </row>
    <row r="87" spans="1:77" x14ac:dyDescent="0.25">
      <c r="A87" s="115">
        <v>18</v>
      </c>
      <c r="B87" s="116">
        <v>289000</v>
      </c>
      <c r="C87" s="128">
        <f>Таблица_навык_точность[[#This Row],[опыт]]+C86</f>
        <v>1153000</v>
      </c>
      <c r="D87" s="260">
        <v>2.5000000000000001E-2</v>
      </c>
      <c r="E87" s="261">
        <f>Таблица_навык_точность[[#This Row],[точность ]]+E86</f>
        <v>0.47500000000000014</v>
      </c>
      <c r="G87" s="115">
        <v>18</v>
      </c>
      <c r="H87" s="116">
        <v>399000</v>
      </c>
      <c r="I87" s="128">
        <f>Таблица_навык_крит._попадание[[#This Row],[опыт]]+I86</f>
        <v>2217000</v>
      </c>
      <c r="J87" s="262">
        <v>0.04</v>
      </c>
      <c r="K87" s="261">
        <f>Таблица_навык_крит._попадание[[#This Row],[крит. Попадание]]+K86</f>
        <v>0.77000000000000013</v>
      </c>
      <c r="Q87" s="115">
        <v>18</v>
      </c>
      <c r="R87" s="116">
        <v>401000</v>
      </c>
      <c r="S87" s="146">
        <f>Таблица_навык_маскировка[[#This Row],[опыт]]+S86</f>
        <v>1531000</v>
      </c>
      <c r="T87" s="268">
        <v>3</v>
      </c>
      <c r="U87" s="302">
        <f>Таблица_навык_маскировка[[#This Row],[маскировка2]]+U86</f>
        <v>44</v>
      </c>
      <c r="W87" s="150">
        <v>18</v>
      </c>
      <c r="X87" s="116">
        <v>399000</v>
      </c>
      <c r="Y87" s="146">
        <f>Таблица_навык_крит._уклонение[[#This Row],[опыт]]+Y86</f>
        <v>2217000</v>
      </c>
      <c r="Z87" s="268">
        <v>5</v>
      </c>
      <c r="AA87" s="308">
        <f>Таблица_навык_крит._уклонение[[#This Row],[крит.уклонение2]]+AA86</f>
        <v>75</v>
      </c>
      <c r="AE87" s="115">
        <v>28</v>
      </c>
      <c r="AF87" s="144">
        <v>1991000</v>
      </c>
      <c r="AG87" s="146">
        <f>Таблица_навык_допинг[[#This Row],[опыт]]+AG86</f>
        <v>9215000</v>
      </c>
      <c r="AH87" s="268"/>
      <c r="AI87" s="308">
        <f>Таблица_навык_допинг[[#This Row],[ОД на стим]]+AI86</f>
        <v>-5</v>
      </c>
      <c r="AJ87" s="268"/>
      <c r="AK87" s="308">
        <f>+Таблица_навык_допинг[[#This Row],[Интоксикация]]+AK86</f>
        <v>17</v>
      </c>
      <c r="AL87" s="262"/>
      <c r="AM87" s="322">
        <f>Таблица_навык_допинг[[#This Row],[эфф .стим.]]+AM86</f>
        <v>9.9999999999999992E-2</v>
      </c>
      <c r="AN87" s="268">
        <v>1</v>
      </c>
      <c r="AO87" s="308">
        <f>Таблица_навык_допинг[[#This Row],[дительность]]+AO86</f>
        <v>3</v>
      </c>
      <c r="AQ87" s="117">
        <v>12</v>
      </c>
      <c r="AR87" s="132">
        <v>84000</v>
      </c>
      <c r="AS87" s="146">
        <f>Таблица_навык_турист[[#This Row],[опыт ]]+AS86</f>
        <v>282000</v>
      </c>
      <c r="AT87" s="305">
        <v>4</v>
      </c>
      <c r="AU87" s="308">
        <f>Таблица_навык_турист[[#This Row],[грузоподъемность]]+AU86</f>
        <v>38</v>
      </c>
      <c r="BA87" s="115">
        <v>0</v>
      </c>
      <c r="BB87" s="116">
        <v>0</v>
      </c>
      <c r="BC87" s="146">
        <v>0</v>
      </c>
      <c r="BD87" s="260"/>
      <c r="BE87" s="322">
        <v>0</v>
      </c>
    </row>
    <row r="88" spans="1:77" x14ac:dyDescent="0.25">
      <c r="A88" s="115">
        <v>19</v>
      </c>
      <c r="B88" s="116">
        <v>381000</v>
      </c>
      <c r="C88" s="128">
        <f>Таблица_навык_точность[[#This Row],[опыт]]+C87</f>
        <v>1534000</v>
      </c>
      <c r="D88" s="260">
        <v>2.5000000000000001E-2</v>
      </c>
      <c r="E88" s="261">
        <f>Таблица_навык_точность[[#This Row],[точность ]]+E87</f>
        <v>0.50000000000000011</v>
      </c>
      <c r="G88" s="115">
        <v>19</v>
      </c>
      <c r="H88" s="116">
        <v>476000</v>
      </c>
      <c r="I88" s="128">
        <f>Таблица_навык_крит._попадание[[#This Row],[опыт]]+I87</f>
        <v>2693000</v>
      </c>
      <c r="J88" s="262">
        <v>0.04</v>
      </c>
      <c r="K88" s="261">
        <f>Таблица_навык_крит._попадание[[#This Row],[крит. Попадание]]+K87</f>
        <v>0.81000000000000016</v>
      </c>
      <c r="Q88" s="115">
        <v>19</v>
      </c>
      <c r="R88" s="116">
        <v>538000</v>
      </c>
      <c r="S88" s="146">
        <f>Таблица_навык_маскировка[[#This Row],[опыт]]+S87</f>
        <v>2069000</v>
      </c>
      <c r="T88" s="268">
        <v>3</v>
      </c>
      <c r="U88" s="302">
        <f>Таблица_навык_маскировка[[#This Row],[маскировка2]]+U87</f>
        <v>47</v>
      </c>
      <c r="W88" s="150">
        <v>19</v>
      </c>
      <c r="X88" s="116">
        <v>476000</v>
      </c>
      <c r="Y88" s="146">
        <f>Таблица_навык_крит._уклонение[[#This Row],[опыт]]+Y87</f>
        <v>2693000</v>
      </c>
      <c r="Z88" s="268">
        <v>5</v>
      </c>
      <c r="AA88" s="308">
        <f>Таблица_навык_крит._уклонение[[#This Row],[крит.уклонение2]]+AA87</f>
        <v>80</v>
      </c>
      <c r="AE88" s="115">
        <v>29</v>
      </c>
      <c r="AF88" s="153">
        <v>2524000</v>
      </c>
      <c r="AG88" s="146">
        <f>Таблица_навык_допинг[[#This Row],[опыт]]+AG87</f>
        <v>11739000</v>
      </c>
      <c r="AH88" s="268"/>
      <c r="AI88" s="308">
        <f>Таблица_навык_допинг[[#This Row],[ОД на стим]]+AI87</f>
        <v>-5</v>
      </c>
      <c r="AJ88" s="268"/>
      <c r="AK88" s="308">
        <f>+Таблица_навык_допинг[[#This Row],[Интоксикация]]+AK87</f>
        <v>17</v>
      </c>
      <c r="AL88" s="262"/>
      <c r="AM88" s="322">
        <f>Таблица_навык_допинг[[#This Row],[эфф .стим.]]+AM87</f>
        <v>9.9999999999999992E-2</v>
      </c>
      <c r="AN88" s="268">
        <v>1</v>
      </c>
      <c r="AO88" s="308">
        <f>Таблица_навык_допинг[[#This Row],[дительность]]+AO87</f>
        <v>4</v>
      </c>
      <c r="AQ88" s="159">
        <v>13</v>
      </c>
      <c r="AR88" s="132">
        <v>115000</v>
      </c>
      <c r="AS88" s="146">
        <f>Таблица_навык_турист[[#This Row],[опыт ]]+AS87</f>
        <v>397000</v>
      </c>
      <c r="AT88" s="305">
        <v>4</v>
      </c>
      <c r="AU88" s="308">
        <f>Таблица_навык_турист[[#This Row],[грузоподъемность]]+AU87</f>
        <v>42</v>
      </c>
      <c r="BA88" s="115">
        <v>1</v>
      </c>
      <c r="BB88" s="116">
        <v>1000</v>
      </c>
      <c r="BC88" s="146">
        <f>Таблица_тренинг_И[[#This Row],[опыт]]+BC87</f>
        <v>1000</v>
      </c>
      <c r="BD88" s="260">
        <v>0.08</v>
      </c>
      <c r="BE88" s="322">
        <f>Таблица_тренинг_И[[#This Row],[интелект2]]+BE87</f>
        <v>0.08</v>
      </c>
    </row>
    <row r="89" spans="1:77" ht="16.5" thickBot="1" x14ac:dyDescent="0.3">
      <c r="A89" s="115">
        <v>20</v>
      </c>
      <c r="B89" s="116">
        <v>500000</v>
      </c>
      <c r="C89" s="128">
        <f>Таблица_навык_точность[[#This Row],[опыт]]+C88</f>
        <v>2034000</v>
      </c>
      <c r="D89" s="260">
        <v>2.5000000000000001E-2</v>
      </c>
      <c r="E89" s="261">
        <f>Таблица_навык_точность[[#This Row],[точность ]]+E88</f>
        <v>0.52500000000000013</v>
      </c>
      <c r="G89" s="115">
        <v>20</v>
      </c>
      <c r="H89" s="116">
        <v>569000</v>
      </c>
      <c r="I89" s="128">
        <f>Таблица_навык_крит._попадание[[#This Row],[опыт]]+I88</f>
        <v>3262000</v>
      </c>
      <c r="J89" s="262">
        <v>0.04</v>
      </c>
      <c r="K89" s="261">
        <f>Таблица_навык_крит._попадание[[#This Row],[крит. Попадание]]+K88</f>
        <v>0.8500000000000002</v>
      </c>
      <c r="Q89" s="115">
        <v>20</v>
      </c>
      <c r="R89" s="116">
        <v>719000</v>
      </c>
      <c r="S89" s="146">
        <f>Таблица_навык_маскировка[[#This Row],[опыт]]+S88</f>
        <v>2788000</v>
      </c>
      <c r="T89" s="268">
        <v>3</v>
      </c>
      <c r="U89" s="302">
        <f>Таблица_навык_маскировка[[#This Row],[маскировка2]]+U88</f>
        <v>50</v>
      </c>
      <c r="W89" s="150">
        <v>20</v>
      </c>
      <c r="X89" s="116">
        <v>569000</v>
      </c>
      <c r="Y89" s="146">
        <f>Таблица_навык_крит._уклонение[[#This Row],[опыт]]+Y88</f>
        <v>3262000</v>
      </c>
      <c r="Z89" s="268">
        <v>5</v>
      </c>
      <c r="AA89" s="308">
        <f>Таблица_навык_крит._уклонение[[#This Row],[крит.уклонение2]]+AA88</f>
        <v>85</v>
      </c>
      <c r="AE89" s="118">
        <v>30</v>
      </c>
      <c r="AF89" s="145">
        <v>3198000</v>
      </c>
      <c r="AG89" s="274">
        <f>Таблица_навык_допинг[[#This Row],[опыт]]+AG88</f>
        <v>14937000</v>
      </c>
      <c r="AH89" s="311"/>
      <c r="AI89" s="310">
        <f>Таблица_навык_допинг[[#This Row],[ОД на стим]]+AI88</f>
        <v>-5</v>
      </c>
      <c r="AJ89" s="311"/>
      <c r="AK89" s="310">
        <f>+Таблица_навык_допинг[[#This Row],[Интоксикация]]+AK88</f>
        <v>17</v>
      </c>
      <c r="AL89" s="263"/>
      <c r="AM89" s="323">
        <f>Таблица_навык_допинг[[#This Row],[эфф .стим.]]+AM88</f>
        <v>9.9999999999999992E-2</v>
      </c>
      <c r="AN89" s="311">
        <v>1</v>
      </c>
      <c r="AO89" s="310">
        <f>Таблица_навык_допинг[[#This Row],[дительность]]+AO88</f>
        <v>5</v>
      </c>
      <c r="AQ89" s="117">
        <v>14</v>
      </c>
      <c r="AR89" s="132">
        <v>159000</v>
      </c>
      <c r="AS89" s="146">
        <f>Таблица_навык_турист[[#This Row],[опыт ]]+AS88</f>
        <v>556000</v>
      </c>
      <c r="AT89" s="305">
        <v>4</v>
      </c>
      <c r="AU89" s="308">
        <f>Таблица_навык_турист[[#This Row],[грузоподъемность]]+AU88</f>
        <v>46</v>
      </c>
      <c r="BA89" s="115">
        <v>2</v>
      </c>
      <c r="BB89" s="116">
        <v>2000</v>
      </c>
      <c r="BC89" s="146">
        <f>Таблица_тренинг_И[[#This Row],[опыт]]+BC88</f>
        <v>3000</v>
      </c>
      <c r="BD89" s="260">
        <v>0.08</v>
      </c>
      <c r="BE89" s="322">
        <f>Таблица_тренинг_И[[#This Row],[интелект2]]+BE88</f>
        <v>0.16</v>
      </c>
    </row>
    <row r="90" spans="1:77" ht="16.5" thickBot="1" x14ac:dyDescent="0.3">
      <c r="A90" s="115">
        <v>21</v>
      </c>
      <c r="B90" s="116">
        <v>658000</v>
      </c>
      <c r="C90" s="128">
        <f>Таблица_навык_точность[[#This Row],[опыт]]+C89</f>
        <v>2692000</v>
      </c>
      <c r="D90" s="260">
        <v>2.5000000000000001E-2</v>
      </c>
      <c r="E90" s="261">
        <f>Таблица_навык_точность[[#This Row],[точность ]]+E89</f>
        <v>0.55000000000000016</v>
      </c>
      <c r="G90" s="115">
        <v>21</v>
      </c>
      <c r="H90" s="116">
        <v>680000</v>
      </c>
      <c r="I90" s="128">
        <f>Таблица_навык_крит._попадание[[#This Row],[опыт]]+I89</f>
        <v>3942000</v>
      </c>
      <c r="J90" s="262">
        <v>0.04</v>
      </c>
      <c r="K90" s="261">
        <f>Таблица_навык_крит._попадание[[#This Row],[крит. Попадание]]+K89</f>
        <v>0.89000000000000024</v>
      </c>
      <c r="Q90" s="115">
        <v>21</v>
      </c>
      <c r="R90" s="116">
        <v>959000</v>
      </c>
      <c r="S90" s="146">
        <f>Таблица_навык_маскировка[[#This Row],[опыт]]+S89</f>
        <v>3747000</v>
      </c>
      <c r="T90" s="268">
        <v>4</v>
      </c>
      <c r="U90" s="302">
        <f>Таблица_навык_маскировка[[#This Row],[маскировка2]]+U89</f>
        <v>54</v>
      </c>
      <c r="W90" s="150">
        <v>21</v>
      </c>
      <c r="X90" s="116">
        <v>680000</v>
      </c>
      <c r="Y90" s="146">
        <f>Таблица_навык_крит._уклонение[[#This Row],[опыт]]+Y89</f>
        <v>3942000</v>
      </c>
      <c r="Z90" s="268">
        <v>5</v>
      </c>
      <c r="AA90" s="308">
        <f>Таблица_навык_крит._уклонение[[#This Row],[крит.уклонение2]]+AA89</f>
        <v>90</v>
      </c>
      <c r="AQ90" s="148">
        <v>15</v>
      </c>
      <c r="AR90" s="133">
        <v>219000</v>
      </c>
      <c r="AS90" s="274">
        <f>Таблица_навык_турист[[#This Row],[опыт ]]+AS89</f>
        <v>775000</v>
      </c>
      <c r="AT90" s="306">
        <v>4</v>
      </c>
      <c r="AU90" s="310">
        <f>Таблица_навык_турист[[#This Row],[грузоподъемность]]+AU89</f>
        <v>50</v>
      </c>
      <c r="BA90" s="115">
        <v>3</v>
      </c>
      <c r="BB90" s="116">
        <v>4000</v>
      </c>
      <c r="BC90" s="146">
        <f>Таблица_тренинг_И[[#This Row],[опыт]]+BC89</f>
        <v>7000</v>
      </c>
      <c r="BD90" s="260">
        <v>0.08</v>
      </c>
      <c r="BE90" s="322">
        <f>Таблица_тренинг_И[[#This Row],[интелект2]]+BE89</f>
        <v>0.24</v>
      </c>
    </row>
    <row r="91" spans="1:77" ht="16.5" thickBot="1" x14ac:dyDescent="0.3">
      <c r="A91" s="115">
        <v>22</v>
      </c>
      <c r="B91" s="116">
        <v>861000</v>
      </c>
      <c r="C91" s="128">
        <f>Таблица_навык_точность[[#This Row],[опыт]]+C90</f>
        <v>3553000</v>
      </c>
      <c r="D91" s="260">
        <v>2.5000000000000001E-2</v>
      </c>
      <c r="E91" s="261">
        <f>Таблица_навык_точность[[#This Row],[точность ]]+E90</f>
        <v>0.57500000000000018</v>
      </c>
      <c r="G91" s="115">
        <v>22</v>
      </c>
      <c r="H91" s="116">
        <v>809000</v>
      </c>
      <c r="I91" s="128">
        <f>Таблица_навык_крит._попадание[[#This Row],[опыт]]+I90</f>
        <v>4751000</v>
      </c>
      <c r="J91" s="262">
        <v>0.04</v>
      </c>
      <c r="K91" s="261">
        <f>Таблица_навык_крит._попадание[[#This Row],[крит. Попадание]]+K90</f>
        <v>0.93000000000000027</v>
      </c>
      <c r="Q91" s="115">
        <v>22</v>
      </c>
      <c r="R91" s="116">
        <v>1277000</v>
      </c>
      <c r="S91" s="146">
        <f>Таблица_навык_маскировка[[#This Row],[опыт]]+S90</f>
        <v>5024000</v>
      </c>
      <c r="T91" s="268">
        <v>4</v>
      </c>
      <c r="U91" s="302">
        <f>Таблица_навык_маскировка[[#This Row],[маскировка2]]+U90</f>
        <v>58</v>
      </c>
      <c r="W91" s="150">
        <v>22</v>
      </c>
      <c r="X91" s="116">
        <v>809000</v>
      </c>
      <c r="Y91" s="146">
        <f>Таблица_навык_крит._уклонение[[#This Row],[опыт]]+Y90</f>
        <v>4751000</v>
      </c>
      <c r="Z91" s="268">
        <v>5</v>
      </c>
      <c r="AA91" s="308">
        <f>Таблица_навык_крит._уклонение[[#This Row],[крит.уклонение2]]+AA90</f>
        <v>95</v>
      </c>
      <c r="AE91" s="6" t="s">
        <v>276</v>
      </c>
      <c r="AF91" s="154" t="s">
        <v>153</v>
      </c>
      <c r="AG91" s="131" t="s">
        <v>495</v>
      </c>
      <c r="AH91" s="201" t="s">
        <v>133</v>
      </c>
      <c r="AI91" s="269" t="s">
        <v>496</v>
      </c>
      <c r="BA91" s="115">
        <v>4</v>
      </c>
      <c r="BB91" s="116">
        <v>5000</v>
      </c>
      <c r="BC91" s="146">
        <f>Таблица_тренинг_И[[#This Row],[опыт]]+BC90</f>
        <v>12000</v>
      </c>
      <c r="BD91" s="260">
        <v>0.08</v>
      </c>
      <c r="BE91" s="322">
        <f>Таблица_тренинг_И[[#This Row],[интелект2]]+BE90</f>
        <v>0.32</v>
      </c>
    </row>
    <row r="92" spans="1:77" x14ac:dyDescent="0.25">
      <c r="A92" s="115">
        <v>23</v>
      </c>
      <c r="B92" s="116">
        <v>1127000</v>
      </c>
      <c r="C92" s="128">
        <f>Таблица_навык_точность[[#This Row],[опыт]]+C91</f>
        <v>4680000</v>
      </c>
      <c r="D92" s="260">
        <v>2.5000000000000001E-2</v>
      </c>
      <c r="E92" s="261">
        <f>Таблица_навык_точность[[#This Row],[точность ]]+E91</f>
        <v>0.6000000000000002</v>
      </c>
      <c r="G92" s="115">
        <v>23</v>
      </c>
      <c r="H92" s="116">
        <v>963000</v>
      </c>
      <c r="I92" s="128">
        <f>Таблица_навык_крит._попадание[[#This Row],[опыт]]+I91</f>
        <v>5714000</v>
      </c>
      <c r="J92" s="262">
        <v>0.04</v>
      </c>
      <c r="K92" s="261">
        <f>Таблица_навык_крит._попадание[[#This Row],[крит. Попадание]]+K91</f>
        <v>0.97000000000000031</v>
      </c>
      <c r="Q92" s="115">
        <v>23</v>
      </c>
      <c r="R92" s="116">
        <v>1699000</v>
      </c>
      <c r="S92" s="146">
        <f>Таблица_навык_маскировка[[#This Row],[опыт]]+S91</f>
        <v>6723000</v>
      </c>
      <c r="T92" s="268">
        <v>4</v>
      </c>
      <c r="U92" s="302">
        <f>Таблица_навык_маскировка[[#This Row],[маскировка2]]+U91</f>
        <v>62</v>
      </c>
      <c r="W92" s="150">
        <v>23</v>
      </c>
      <c r="X92" s="116">
        <v>963000</v>
      </c>
      <c r="Y92" s="146">
        <f>Таблица_навык_крит._уклонение[[#This Row],[опыт]]+Y91</f>
        <v>5714000</v>
      </c>
      <c r="Z92" s="268">
        <v>5</v>
      </c>
      <c r="AA92" s="308">
        <f>Таблица_навык_крит._уклонение[[#This Row],[крит.уклонение2]]+AA91</f>
        <v>100</v>
      </c>
      <c r="AE92" s="115">
        <v>0</v>
      </c>
      <c r="AF92" s="116">
        <v>0</v>
      </c>
      <c r="AG92" s="146">
        <v>0</v>
      </c>
      <c r="AH92" s="268"/>
      <c r="AI92" s="308">
        <v>0</v>
      </c>
      <c r="AQ92" s="111" t="s">
        <v>157</v>
      </c>
      <c r="AR92" s="112" t="s">
        <v>153</v>
      </c>
      <c r="AS92" s="131" t="s">
        <v>495</v>
      </c>
      <c r="AT92" s="258" t="s">
        <v>158</v>
      </c>
      <c r="AU92" s="259" t="s">
        <v>534</v>
      </c>
      <c r="AV92" s="258" t="s">
        <v>512</v>
      </c>
      <c r="AW92" s="269" t="s">
        <v>496</v>
      </c>
      <c r="AX92" s="258" t="s">
        <v>159</v>
      </c>
      <c r="AY92" s="269" t="s">
        <v>499</v>
      </c>
      <c r="BA92" s="115">
        <v>5</v>
      </c>
      <c r="BB92" s="116">
        <v>7000</v>
      </c>
      <c r="BC92" s="146">
        <f>Таблица_тренинг_И[[#This Row],[опыт]]+BC91</f>
        <v>19000</v>
      </c>
      <c r="BD92" s="260">
        <v>0.08</v>
      </c>
      <c r="BE92" s="322">
        <f>Таблица_тренинг_И[[#This Row],[интелект2]]+BE91</f>
        <v>0.4</v>
      </c>
    </row>
    <row r="93" spans="1:77" x14ac:dyDescent="0.25">
      <c r="A93" s="115">
        <v>24</v>
      </c>
      <c r="B93" s="116">
        <v>1473000</v>
      </c>
      <c r="C93" s="128">
        <f>Таблица_навык_точность[[#This Row],[опыт]]+C92</f>
        <v>6153000</v>
      </c>
      <c r="D93" s="260">
        <v>2.5000000000000001E-2</v>
      </c>
      <c r="E93" s="261">
        <f>Таблица_навык_точность[[#This Row],[точность ]]+E92</f>
        <v>0.62500000000000022</v>
      </c>
      <c r="G93" s="115">
        <v>24</v>
      </c>
      <c r="H93" s="116">
        <v>1145000</v>
      </c>
      <c r="I93" s="128">
        <f>Таблица_навык_крит._попадание[[#This Row],[опыт]]+I92</f>
        <v>6859000</v>
      </c>
      <c r="J93" s="262">
        <v>0.04</v>
      </c>
      <c r="K93" s="261">
        <f>Таблица_навык_крит._попадание[[#This Row],[крит. Попадание]]+K92</f>
        <v>1.0100000000000002</v>
      </c>
      <c r="Q93" s="115">
        <v>24</v>
      </c>
      <c r="R93" s="116">
        <v>2256000</v>
      </c>
      <c r="S93" s="146">
        <f>Таблица_навык_маскировка[[#This Row],[опыт]]+S92</f>
        <v>8979000</v>
      </c>
      <c r="T93" s="268">
        <v>4</v>
      </c>
      <c r="U93" s="302">
        <f>Таблица_навык_маскировка[[#This Row],[маскировка2]]+U92</f>
        <v>66</v>
      </c>
      <c r="W93" s="150">
        <v>24</v>
      </c>
      <c r="X93" s="116">
        <v>1145000</v>
      </c>
      <c r="Y93" s="146">
        <f>Таблица_навык_крит._уклонение[[#This Row],[опыт]]+Y92</f>
        <v>6859000</v>
      </c>
      <c r="Z93" s="268">
        <v>5</v>
      </c>
      <c r="AA93" s="308">
        <f>Таблица_навык_крит._уклонение[[#This Row],[крит.уклонение2]]+AA92</f>
        <v>105</v>
      </c>
      <c r="AE93" s="115">
        <v>1</v>
      </c>
      <c r="AF93" s="144">
        <v>1000</v>
      </c>
      <c r="AG93" s="146">
        <f>Таблица_навык_крепкое_здоровье[[#This Row],[опыт]]+AG92</f>
        <v>1000</v>
      </c>
      <c r="AH93" s="268">
        <v>1</v>
      </c>
      <c r="AI93" s="308">
        <f>Таблица_навык_крепкое_здоровье[[#This Row],[здоровье]]+AI92</f>
        <v>1</v>
      </c>
      <c r="AQ93" s="117">
        <v>0</v>
      </c>
      <c r="AR93" s="132">
        <v>0</v>
      </c>
      <c r="AS93" s="318">
        <v>0</v>
      </c>
      <c r="AT93" s="260"/>
      <c r="AU93" s="261">
        <v>0</v>
      </c>
      <c r="AV93" s="260"/>
      <c r="AW93" s="261">
        <v>0</v>
      </c>
      <c r="AX93" s="260"/>
      <c r="AY93" s="261">
        <v>0</v>
      </c>
      <c r="BA93" s="115">
        <v>6</v>
      </c>
      <c r="BB93" s="116">
        <v>11000</v>
      </c>
      <c r="BC93" s="146">
        <f>Таблица_тренинг_И[[#This Row],[опыт]]+BC92</f>
        <v>30000</v>
      </c>
      <c r="BD93" s="260">
        <v>0.08</v>
      </c>
      <c r="BE93" s="322">
        <f>Таблица_тренинг_И[[#This Row],[интелект2]]+BE92</f>
        <v>0.48000000000000004</v>
      </c>
    </row>
    <row r="94" spans="1:77" x14ac:dyDescent="0.25">
      <c r="A94" s="115">
        <v>25</v>
      </c>
      <c r="B94" s="116">
        <v>1923000</v>
      </c>
      <c r="C94" s="128">
        <f>Таблица_навык_точность[[#This Row],[опыт]]+C93</f>
        <v>8076000</v>
      </c>
      <c r="D94" s="260">
        <v>2.5000000000000001E-2</v>
      </c>
      <c r="E94" s="261">
        <f>Таблица_навык_точность[[#This Row],[точность ]]+E93</f>
        <v>0.65000000000000024</v>
      </c>
      <c r="G94" s="115">
        <v>25</v>
      </c>
      <c r="H94" s="116">
        <v>1360000</v>
      </c>
      <c r="I94" s="128">
        <f>Таблица_навык_крит._попадание[[#This Row],[опыт]]+I93</f>
        <v>8219000</v>
      </c>
      <c r="J94" s="262">
        <v>0.04</v>
      </c>
      <c r="K94" s="261">
        <f>Таблица_навык_крит._попадание[[#This Row],[крит. Попадание]]+K93</f>
        <v>1.0500000000000003</v>
      </c>
      <c r="Q94" s="115">
        <v>25</v>
      </c>
      <c r="R94" s="116">
        <v>2994000</v>
      </c>
      <c r="S94" s="146">
        <f>Таблица_навык_маскировка[[#This Row],[опыт]]+S93</f>
        <v>11973000</v>
      </c>
      <c r="T94" s="268">
        <v>4</v>
      </c>
      <c r="U94" s="302">
        <f>Таблица_навык_маскировка[[#This Row],[маскировка2]]+U93</f>
        <v>70</v>
      </c>
      <c r="W94" s="150">
        <v>25</v>
      </c>
      <c r="X94" s="116">
        <v>1360000</v>
      </c>
      <c r="Y94" s="146">
        <f>Таблица_навык_крит._уклонение[[#This Row],[опыт]]+Y93</f>
        <v>8219000</v>
      </c>
      <c r="Z94" s="268">
        <v>5</v>
      </c>
      <c r="AA94" s="308">
        <f>Таблица_навык_крит._уклонение[[#This Row],[крит.уклонение2]]+AA93</f>
        <v>110</v>
      </c>
      <c r="AE94" s="115">
        <v>2</v>
      </c>
      <c r="AF94" s="144">
        <v>2000</v>
      </c>
      <c r="AG94" s="146">
        <f>Таблица_навык_крепкое_здоровье[[#This Row],[опыт]]+AG93</f>
        <v>3000</v>
      </c>
      <c r="AH94" s="268">
        <v>1</v>
      </c>
      <c r="AI94" s="308">
        <f>Таблица_навык_крепкое_здоровье[[#This Row],[здоровье]]+AI93</f>
        <v>2</v>
      </c>
      <c r="AQ94" s="117">
        <v>1</v>
      </c>
      <c r="AR94" s="132">
        <v>1000</v>
      </c>
      <c r="AS94" s="318">
        <f>Таблица_навык_скиталец[[#This Row],[опыт]]+0</f>
        <v>1000</v>
      </c>
      <c r="AT94" s="260">
        <v>0.05</v>
      </c>
      <c r="AU94" s="261">
        <f>Таблица_навык_скиталец[[#This Row],[найти лут]]+0</f>
        <v>0.05</v>
      </c>
      <c r="AV94" s="260"/>
      <c r="AW94" s="261">
        <f>Таблица_навык_скиталец[[#This Row],[потеря троф.]]+0</f>
        <v>0</v>
      </c>
      <c r="AX94" s="260"/>
      <c r="AY94" s="261">
        <f>Таблица_навык_скиталец[[#This Row],[выйти из боя]]+0</f>
        <v>0</v>
      </c>
      <c r="BA94" s="115">
        <v>7</v>
      </c>
      <c r="BB94" s="116">
        <v>16000</v>
      </c>
      <c r="BC94" s="146">
        <f>Таблица_тренинг_И[[#This Row],[опыт]]+BC93</f>
        <v>46000</v>
      </c>
      <c r="BD94" s="260">
        <v>0.08</v>
      </c>
      <c r="BE94" s="322">
        <f>Таблица_тренинг_И[[#This Row],[интелект2]]+BE93</f>
        <v>0.56000000000000005</v>
      </c>
    </row>
    <row r="95" spans="1:77" x14ac:dyDescent="0.25">
      <c r="A95" s="115">
        <v>26</v>
      </c>
      <c r="B95" s="116">
        <v>2507000</v>
      </c>
      <c r="C95" s="128">
        <f>Таблица_навык_точность[[#This Row],[опыт]]+C94</f>
        <v>10583000</v>
      </c>
      <c r="D95" s="260">
        <v>2.5000000000000001E-2</v>
      </c>
      <c r="E95" s="261">
        <f>Таблица_навык_точность[[#This Row],[точность ]]+E94</f>
        <v>0.67500000000000027</v>
      </c>
      <c r="G95" s="115">
        <v>26</v>
      </c>
      <c r="H95" s="116">
        <v>1613000</v>
      </c>
      <c r="I95" s="128">
        <f>Таблица_навык_крит._попадание[[#This Row],[опыт]]+I94</f>
        <v>9832000</v>
      </c>
      <c r="J95" s="262">
        <v>0.04</v>
      </c>
      <c r="K95" s="261">
        <f>Таблица_навык_крит._попадание[[#This Row],[крит. Попадание]]+K94</f>
        <v>1.0900000000000003</v>
      </c>
      <c r="Q95" s="115">
        <v>26</v>
      </c>
      <c r="R95" s="116">
        <v>3965000</v>
      </c>
      <c r="S95" s="146">
        <f>Таблица_навык_маскировка[[#This Row],[опыт]]+S94</f>
        <v>15938000</v>
      </c>
      <c r="T95" s="268">
        <v>5</v>
      </c>
      <c r="U95" s="302">
        <f>Таблица_навык_маскировка[[#This Row],[маскировка2]]+U94</f>
        <v>75</v>
      </c>
      <c r="W95" s="150">
        <v>26</v>
      </c>
      <c r="X95" s="116">
        <v>1613000</v>
      </c>
      <c r="Y95" s="146">
        <f>Таблица_навык_крит._уклонение[[#This Row],[опыт]]+Y94</f>
        <v>9832000</v>
      </c>
      <c r="Z95" s="268">
        <v>5</v>
      </c>
      <c r="AA95" s="308">
        <f>Таблица_навык_крит._уклонение[[#This Row],[крит.уклонение2]]+AA94</f>
        <v>115</v>
      </c>
      <c r="AE95" s="115">
        <v>3</v>
      </c>
      <c r="AF95" s="144">
        <v>3000</v>
      </c>
      <c r="AG95" s="146">
        <f>Таблица_навык_крепкое_здоровье[[#This Row],[опыт]]+AG94</f>
        <v>6000</v>
      </c>
      <c r="AH95" s="268">
        <v>1</v>
      </c>
      <c r="AI95" s="308">
        <f>Таблица_навык_крепкое_здоровье[[#This Row],[здоровье]]+AI94</f>
        <v>3</v>
      </c>
      <c r="AQ95" s="117">
        <v>2</v>
      </c>
      <c r="AR95" s="132">
        <v>2000</v>
      </c>
      <c r="AS95" s="318">
        <f>Таблица_навык_скиталец[[#This Row],[опыт]]+AS94</f>
        <v>3000</v>
      </c>
      <c r="AT95" s="260"/>
      <c r="AU95" s="261">
        <f>Таблица_навык_скиталец[[#This Row],[найти лут]]+AU94</f>
        <v>0.05</v>
      </c>
      <c r="AV95" s="260">
        <v>-0.1</v>
      </c>
      <c r="AW95" s="261">
        <f>Таблица_навык_скиталец[[#This Row],[потеря троф.]]+AW94</f>
        <v>-0.1</v>
      </c>
      <c r="AX95" s="260"/>
      <c r="AY95" s="261">
        <f>Таблица_навык_скиталец[[#This Row],[выйти из боя]]+AY94</f>
        <v>0</v>
      </c>
      <c r="BA95" s="115">
        <v>8</v>
      </c>
      <c r="BB95" s="116">
        <v>23000</v>
      </c>
      <c r="BC95" s="146">
        <f>Таблица_тренинг_И[[#This Row],[опыт]]+BC94</f>
        <v>69000</v>
      </c>
      <c r="BD95" s="260">
        <v>0.08</v>
      </c>
      <c r="BE95" s="322">
        <f>Таблица_тренинг_И[[#This Row],[интелект2]]+BE94</f>
        <v>0.64</v>
      </c>
    </row>
    <row r="96" spans="1:77" x14ac:dyDescent="0.25">
      <c r="A96" s="115">
        <v>27</v>
      </c>
      <c r="B96" s="116">
        <v>3264000</v>
      </c>
      <c r="C96" s="128">
        <f>Таблица_навык_точность[[#This Row],[опыт]]+C95</f>
        <v>13847000</v>
      </c>
      <c r="D96" s="260">
        <v>2.5000000000000001E-2</v>
      </c>
      <c r="E96" s="261">
        <f>Таблица_навык_точность[[#This Row],[точность ]]+E95</f>
        <v>0.70000000000000029</v>
      </c>
      <c r="G96" s="115">
        <v>27</v>
      </c>
      <c r="H96" s="116">
        <v>1912000</v>
      </c>
      <c r="I96" s="128">
        <f>Таблица_навык_крит._попадание[[#This Row],[опыт]]+I95</f>
        <v>11744000</v>
      </c>
      <c r="J96" s="262">
        <v>0.04</v>
      </c>
      <c r="K96" s="261">
        <f>Таблица_навык_крит._попадание[[#This Row],[крит. Попадание]]+K95</f>
        <v>1.1300000000000003</v>
      </c>
      <c r="Q96" s="115">
        <v>27</v>
      </c>
      <c r="R96" s="116">
        <v>5247000</v>
      </c>
      <c r="S96" s="146">
        <f>Таблица_навык_маскировка[[#This Row],[опыт]]+S95</f>
        <v>21185000</v>
      </c>
      <c r="T96" s="268">
        <v>5</v>
      </c>
      <c r="U96" s="302">
        <f>Таблица_навык_маскировка[[#This Row],[маскировка2]]+U95</f>
        <v>80</v>
      </c>
      <c r="W96" s="150">
        <v>27</v>
      </c>
      <c r="X96" s="116">
        <v>1912000</v>
      </c>
      <c r="Y96" s="146">
        <f>Таблица_навык_крит._уклонение[[#This Row],[опыт]]+Y95</f>
        <v>11744000</v>
      </c>
      <c r="Z96" s="268">
        <v>5</v>
      </c>
      <c r="AA96" s="308">
        <f>Таблица_навык_крит._уклонение[[#This Row],[крит.уклонение2]]+AA95</f>
        <v>120</v>
      </c>
      <c r="AE96" s="115">
        <v>4</v>
      </c>
      <c r="AF96" s="144">
        <v>4000</v>
      </c>
      <c r="AG96" s="146">
        <f>Таблица_навык_крепкое_здоровье[[#This Row],[опыт]]+AG95</f>
        <v>10000</v>
      </c>
      <c r="AH96" s="268">
        <v>1</v>
      </c>
      <c r="AI96" s="308">
        <f>Таблица_навык_крепкое_здоровье[[#This Row],[здоровье]]+AI95</f>
        <v>4</v>
      </c>
      <c r="AQ96" s="117">
        <v>3</v>
      </c>
      <c r="AR96" s="132">
        <v>4000</v>
      </c>
      <c r="AS96" s="318">
        <f>Таблица_навык_скиталец[[#This Row],[опыт]]+AS95</f>
        <v>7000</v>
      </c>
      <c r="AT96" s="260"/>
      <c r="AU96" s="261">
        <f>Таблица_навык_скиталец[[#This Row],[найти лут]]+AU95</f>
        <v>0.05</v>
      </c>
      <c r="AV96" s="260"/>
      <c r="AW96" s="261">
        <f>Таблица_навык_скиталец[[#This Row],[потеря троф.]]+AW95</f>
        <v>-0.1</v>
      </c>
      <c r="AX96" s="260">
        <v>0.2</v>
      </c>
      <c r="AY96" s="261">
        <f>Таблица_навык_скиталец[[#This Row],[выйти из боя]]+AY95</f>
        <v>0.2</v>
      </c>
      <c r="BA96" s="115">
        <v>9</v>
      </c>
      <c r="BB96" s="116">
        <v>33000</v>
      </c>
      <c r="BC96" s="146">
        <f>Таблица_тренинг_И[[#This Row],[опыт]]+BC95</f>
        <v>102000</v>
      </c>
      <c r="BD96" s="260">
        <v>0.08</v>
      </c>
      <c r="BE96" s="322">
        <f>Таблица_тренинг_И[[#This Row],[интелект2]]+BE95</f>
        <v>0.72</v>
      </c>
    </row>
    <row r="97" spans="1:57" x14ac:dyDescent="0.25">
      <c r="A97" s="115">
        <v>28</v>
      </c>
      <c r="B97" s="116">
        <v>4247000</v>
      </c>
      <c r="C97" s="128">
        <f>Таблица_навык_точность[[#This Row],[опыт]]+C96</f>
        <v>18094000</v>
      </c>
      <c r="D97" s="260">
        <v>2.5000000000000001E-2</v>
      </c>
      <c r="E97" s="261">
        <f>Таблица_навык_точность[[#This Row],[точность ]]+E96</f>
        <v>0.72500000000000031</v>
      </c>
      <c r="G97" s="115">
        <v>28</v>
      </c>
      <c r="H97" s="116">
        <v>2263000</v>
      </c>
      <c r="I97" s="128">
        <f>Таблица_навык_крит._попадание[[#This Row],[опыт]]+I96</f>
        <v>14007000</v>
      </c>
      <c r="J97" s="262">
        <v>0.04</v>
      </c>
      <c r="K97" s="261">
        <f>Таблица_навык_крит._попадание[[#This Row],[крит. Попадание]]+K96</f>
        <v>1.1700000000000004</v>
      </c>
      <c r="Q97" s="115">
        <v>28</v>
      </c>
      <c r="R97" s="116">
        <v>6936000</v>
      </c>
      <c r="S97" s="146">
        <f>Таблица_навык_маскировка[[#This Row],[опыт]]+S96</f>
        <v>28121000</v>
      </c>
      <c r="T97" s="268">
        <v>5</v>
      </c>
      <c r="U97" s="302">
        <f>Таблица_навык_маскировка[[#This Row],[маскировка2]]+U96</f>
        <v>85</v>
      </c>
      <c r="W97" s="150">
        <v>28</v>
      </c>
      <c r="X97" s="116">
        <v>2263000</v>
      </c>
      <c r="Y97" s="146">
        <f>Таблица_навык_крит._уклонение[[#This Row],[опыт]]+Y96</f>
        <v>14007000</v>
      </c>
      <c r="Z97" s="268">
        <v>5</v>
      </c>
      <c r="AA97" s="308">
        <f>Таблица_навык_крит._уклонение[[#This Row],[крит.уклонение2]]+AA96</f>
        <v>125</v>
      </c>
      <c r="AE97" s="115">
        <v>5</v>
      </c>
      <c r="AF97" s="144">
        <v>6000</v>
      </c>
      <c r="AG97" s="146">
        <f>Таблица_навык_крепкое_здоровье[[#This Row],[опыт]]+AG96</f>
        <v>16000</v>
      </c>
      <c r="AH97" s="268">
        <v>1</v>
      </c>
      <c r="AI97" s="308">
        <f>Таблица_навык_крепкое_здоровье[[#This Row],[здоровье]]+AI96</f>
        <v>5</v>
      </c>
      <c r="AQ97" s="117">
        <v>4</v>
      </c>
      <c r="AR97" s="132">
        <v>4000</v>
      </c>
      <c r="AS97" s="318">
        <f>Таблица_навык_скиталец[[#This Row],[опыт]]+AS96</f>
        <v>11000</v>
      </c>
      <c r="AT97" s="260">
        <v>0.05</v>
      </c>
      <c r="AU97" s="261">
        <f>Таблица_навык_скиталец[[#This Row],[найти лут]]+AU96</f>
        <v>0.1</v>
      </c>
      <c r="AV97" s="260"/>
      <c r="AW97" s="261">
        <f>Таблица_навык_скиталец[[#This Row],[потеря троф.]]+AW96</f>
        <v>-0.1</v>
      </c>
      <c r="AX97" s="260"/>
      <c r="AY97" s="261">
        <f>Таблица_навык_скиталец[[#This Row],[выйти из боя]]+AY96</f>
        <v>0.2</v>
      </c>
      <c r="BA97" s="115">
        <v>10</v>
      </c>
      <c r="BB97" s="116">
        <v>47000</v>
      </c>
      <c r="BC97" s="146">
        <f>Таблица_тренинг_И[[#This Row],[опыт]]+BC96</f>
        <v>149000</v>
      </c>
      <c r="BD97" s="260">
        <v>0.08</v>
      </c>
      <c r="BE97" s="322">
        <f>Таблица_тренинг_И[[#This Row],[интелект2]]+BE96</f>
        <v>0.79999999999999993</v>
      </c>
    </row>
    <row r="98" spans="1:57" x14ac:dyDescent="0.25">
      <c r="A98" s="115">
        <v>29</v>
      </c>
      <c r="B98" s="116">
        <v>5519000</v>
      </c>
      <c r="C98" s="128">
        <f>Таблица_навык_точность[[#This Row],[опыт]]+C97</f>
        <v>23613000</v>
      </c>
      <c r="D98" s="260">
        <v>2.5000000000000001E-2</v>
      </c>
      <c r="E98" s="261">
        <f>Таблица_навык_точность[[#This Row],[точность ]]+E97</f>
        <v>0.75000000000000033</v>
      </c>
      <c r="G98" s="115">
        <v>29</v>
      </c>
      <c r="H98" s="116">
        <v>2679000</v>
      </c>
      <c r="I98" s="128">
        <f>Таблица_навык_крит._попадание[[#This Row],[опыт]]+I97</f>
        <v>16686000</v>
      </c>
      <c r="J98" s="262">
        <v>0.04</v>
      </c>
      <c r="K98" s="261">
        <f>Таблица_навык_крит._попадание[[#This Row],[крит. Попадание]]+K97</f>
        <v>1.2100000000000004</v>
      </c>
      <c r="Q98" s="115">
        <v>29</v>
      </c>
      <c r="R98" s="116">
        <v>9160000</v>
      </c>
      <c r="S98" s="146">
        <f>Таблица_навык_маскировка[[#This Row],[опыт]]+S97</f>
        <v>37281000</v>
      </c>
      <c r="T98" s="268">
        <v>5</v>
      </c>
      <c r="U98" s="302">
        <f>Таблица_навык_маскировка[[#This Row],[маскировка2]]+U97</f>
        <v>90</v>
      </c>
      <c r="W98" s="150">
        <v>29</v>
      </c>
      <c r="X98" s="116">
        <v>2679000</v>
      </c>
      <c r="Y98" s="146">
        <f>Таблица_навык_крит._уклонение[[#This Row],[опыт]]+Y97</f>
        <v>16686000</v>
      </c>
      <c r="Z98" s="268">
        <v>5</v>
      </c>
      <c r="AA98" s="308">
        <f>Таблица_навык_крит._уклонение[[#This Row],[крит.уклонение2]]+AA97</f>
        <v>130</v>
      </c>
      <c r="AE98" s="115">
        <v>6</v>
      </c>
      <c r="AF98" s="144">
        <v>8000</v>
      </c>
      <c r="AG98" s="146">
        <f>Таблица_навык_крепкое_здоровье[[#This Row],[опыт]]+AG97</f>
        <v>24000</v>
      </c>
      <c r="AH98" s="268">
        <v>1</v>
      </c>
      <c r="AI98" s="308">
        <f>Таблица_навык_крепкое_здоровье[[#This Row],[здоровье]]+AI97</f>
        <v>6</v>
      </c>
      <c r="AQ98" s="117">
        <v>5</v>
      </c>
      <c r="AR98" s="132">
        <v>8000</v>
      </c>
      <c r="AS98" s="318">
        <f>Таблица_навык_скиталец[[#This Row],[опыт]]+AS97</f>
        <v>19000</v>
      </c>
      <c r="AT98" s="260"/>
      <c r="AU98" s="261">
        <f>Таблица_навык_скиталец[[#This Row],[найти лут]]+AU97</f>
        <v>0.1</v>
      </c>
      <c r="AV98" s="260">
        <v>-0.1</v>
      </c>
      <c r="AW98" s="261">
        <f>Таблица_навык_скиталец[[#This Row],[потеря троф.]]+AW97</f>
        <v>-0.2</v>
      </c>
      <c r="AX98" s="260"/>
      <c r="AY98" s="261">
        <f>Таблица_навык_скиталец[[#This Row],[выйти из боя]]+AY97</f>
        <v>0.2</v>
      </c>
      <c r="BA98" s="115">
        <v>11</v>
      </c>
      <c r="BB98" s="116">
        <v>65000</v>
      </c>
      <c r="BC98" s="146">
        <f>Таблица_тренинг_И[[#This Row],[опыт]]+BC97</f>
        <v>214000</v>
      </c>
      <c r="BD98" s="260">
        <v>0.08</v>
      </c>
      <c r="BE98" s="322">
        <f>Таблица_тренинг_И[[#This Row],[интелект2]]+BE97</f>
        <v>0.87999999999999989</v>
      </c>
    </row>
    <row r="99" spans="1:57" ht="16.5" thickBot="1" x14ac:dyDescent="0.3">
      <c r="A99" s="118">
        <v>30</v>
      </c>
      <c r="B99" s="119">
        <v>7165000</v>
      </c>
      <c r="C99" s="128">
        <f>Таблица_навык_точность[[#This Row],[опыт]]+C98</f>
        <v>30778000</v>
      </c>
      <c r="D99" s="266">
        <v>2.5000000000000001E-2</v>
      </c>
      <c r="E99" s="264">
        <f>Таблица_навык_точность[[#This Row],[точность ]]+E98</f>
        <v>0.77500000000000036</v>
      </c>
      <c r="G99" s="118">
        <v>30</v>
      </c>
      <c r="H99" s="119">
        <v>3167000</v>
      </c>
      <c r="I99" s="128">
        <f>Таблица_навык_крит._попадание[[#This Row],[опыт]]+I98</f>
        <v>19853000</v>
      </c>
      <c r="J99" s="263">
        <v>0.04</v>
      </c>
      <c r="K99" s="264">
        <f>Таблица_навык_крит._попадание[[#This Row],[крит. Попадание]]+K98</f>
        <v>1.2500000000000004</v>
      </c>
      <c r="Q99" s="118">
        <v>30</v>
      </c>
      <c r="R99" s="119">
        <v>12084000</v>
      </c>
      <c r="S99" s="274">
        <f>Таблица_навык_маскировка[[#This Row],[опыт]]+S98</f>
        <v>49365000</v>
      </c>
      <c r="T99" s="311">
        <v>5</v>
      </c>
      <c r="U99" s="304">
        <f>Таблица_навык_маскировка[[#This Row],[маскировка2]]+U98</f>
        <v>95</v>
      </c>
      <c r="W99" s="151">
        <v>30</v>
      </c>
      <c r="X99" s="119">
        <v>3167000</v>
      </c>
      <c r="Y99" s="274">
        <f>Таблица_навык_крит._уклонение[[#This Row],[опыт]]+Y98</f>
        <v>19853000</v>
      </c>
      <c r="Z99" s="311">
        <v>5</v>
      </c>
      <c r="AA99" s="310">
        <f>Таблица_навык_крит._уклонение[[#This Row],[крит.уклонение2]]+AA98</f>
        <v>135</v>
      </c>
      <c r="AE99" s="115">
        <v>7</v>
      </c>
      <c r="AF99" s="144">
        <v>11000</v>
      </c>
      <c r="AG99" s="146">
        <f>Таблица_навык_крепкое_здоровье[[#This Row],[опыт]]+AG98</f>
        <v>35000</v>
      </c>
      <c r="AH99" s="268">
        <v>1</v>
      </c>
      <c r="AI99" s="308">
        <f>Таблица_навык_крепкое_здоровье[[#This Row],[здоровье]]+AI98</f>
        <v>7</v>
      </c>
      <c r="AQ99" s="117">
        <v>6</v>
      </c>
      <c r="AR99" s="132">
        <v>10000</v>
      </c>
      <c r="AS99" s="318">
        <f>Таблица_навык_скиталец[[#This Row],[опыт]]+AS98</f>
        <v>29000</v>
      </c>
      <c r="AT99" s="260"/>
      <c r="AU99" s="261">
        <f>Таблица_навык_скиталец[[#This Row],[найти лут]]+AU98</f>
        <v>0.1</v>
      </c>
      <c r="AV99" s="260"/>
      <c r="AW99" s="261">
        <f>Таблица_навык_скиталец[[#This Row],[потеря троф.]]+AW98</f>
        <v>-0.2</v>
      </c>
      <c r="AX99" s="260">
        <v>0.2</v>
      </c>
      <c r="AY99" s="261">
        <f>Таблица_навык_скиталец[[#This Row],[выйти из боя]]+AY98</f>
        <v>0.4</v>
      </c>
      <c r="BA99" s="115">
        <v>12</v>
      </c>
      <c r="BB99" s="116">
        <v>93000</v>
      </c>
      <c r="BC99" s="146">
        <f>Таблица_тренинг_И[[#This Row],[опыт]]+BC98</f>
        <v>307000</v>
      </c>
      <c r="BD99" s="260">
        <v>0.08</v>
      </c>
      <c r="BE99" s="322">
        <f>Таблица_тренинг_И[[#This Row],[интелект2]]+BE98</f>
        <v>0.95999999999999985</v>
      </c>
    </row>
    <row r="100" spans="1:57" ht="16.5" thickBot="1" x14ac:dyDescent="0.3">
      <c r="N100" s="12"/>
      <c r="O100" s="12"/>
      <c r="AE100" s="115">
        <v>8</v>
      </c>
      <c r="AF100" s="144">
        <v>16000</v>
      </c>
      <c r="AG100" s="146">
        <f>Таблица_навык_крепкое_здоровье[[#This Row],[опыт]]+AG99</f>
        <v>51000</v>
      </c>
      <c r="AH100" s="268">
        <v>2</v>
      </c>
      <c r="AI100" s="308">
        <f>Таблица_навык_крепкое_здоровье[[#This Row],[здоровье]]+AI99</f>
        <v>9</v>
      </c>
      <c r="AQ100" s="117">
        <v>7</v>
      </c>
      <c r="AR100" s="132">
        <v>15000</v>
      </c>
      <c r="AS100" s="318">
        <f>Таблица_навык_скиталец[[#This Row],[опыт]]+AS99</f>
        <v>44000</v>
      </c>
      <c r="AT100" s="260">
        <v>0.05</v>
      </c>
      <c r="AU100" s="261">
        <f>Таблица_навык_скиталец[[#This Row],[найти лут]]+AU99</f>
        <v>0.15000000000000002</v>
      </c>
      <c r="AV100" s="260"/>
      <c r="AW100" s="261">
        <f>Таблица_навык_скиталец[[#This Row],[потеря троф.]]+AW99</f>
        <v>-0.2</v>
      </c>
      <c r="AX100" s="260"/>
      <c r="AY100" s="261">
        <f>Таблица_навык_скиталец[[#This Row],[выйти из боя]]+AY99</f>
        <v>0.4</v>
      </c>
      <c r="BA100" s="115">
        <v>13</v>
      </c>
      <c r="BB100" s="116">
        <v>128000</v>
      </c>
      <c r="BC100" s="146">
        <f>Таблица_тренинг_И[[#This Row],[опыт]]+BC99</f>
        <v>435000</v>
      </c>
      <c r="BD100" s="260">
        <v>0.08</v>
      </c>
      <c r="BE100" s="322">
        <f>Таблица_тренинг_И[[#This Row],[интелект2]]+BE99</f>
        <v>1.0399999999999998</v>
      </c>
    </row>
    <row r="101" spans="1:57" x14ac:dyDescent="0.25">
      <c r="A101" s="122" t="s">
        <v>105</v>
      </c>
      <c r="B101" s="112" t="s">
        <v>514</v>
      </c>
      <c r="C101" s="105" t="s">
        <v>495</v>
      </c>
      <c r="D101" s="258" t="s">
        <v>518</v>
      </c>
      <c r="E101" s="105" t="s">
        <v>534</v>
      </c>
      <c r="F101" s="258" t="s">
        <v>519</v>
      </c>
      <c r="G101" s="105" t="s">
        <v>499</v>
      </c>
      <c r="H101" s="258" t="s">
        <v>429</v>
      </c>
      <c r="I101" s="105" t="s">
        <v>496</v>
      </c>
      <c r="Q101" s="111" t="s">
        <v>121</v>
      </c>
      <c r="R101" s="112" t="s">
        <v>153</v>
      </c>
      <c r="S101" s="131" t="s">
        <v>495</v>
      </c>
      <c r="T101" s="258" t="s">
        <v>0</v>
      </c>
      <c r="U101" s="259" t="s">
        <v>496</v>
      </c>
      <c r="V101" s="258" t="s">
        <v>498</v>
      </c>
      <c r="W101" s="259" t="s">
        <v>499</v>
      </c>
      <c r="AE101" s="115">
        <v>9</v>
      </c>
      <c r="AF101" s="144">
        <v>21000</v>
      </c>
      <c r="AG101" s="146">
        <f>Таблица_навык_крепкое_здоровье[[#This Row],[опыт]]+AG100</f>
        <v>72000</v>
      </c>
      <c r="AH101" s="268">
        <v>2</v>
      </c>
      <c r="AI101" s="308">
        <f>Таблица_навык_крепкое_здоровье[[#This Row],[здоровье]]+AI100</f>
        <v>11</v>
      </c>
      <c r="AQ101" s="117">
        <v>8</v>
      </c>
      <c r="AR101" s="132">
        <v>22000</v>
      </c>
      <c r="AS101" s="318">
        <f>Таблица_навык_скиталец[[#This Row],[опыт]]+AS100</f>
        <v>66000</v>
      </c>
      <c r="AT101" s="260"/>
      <c r="AU101" s="261">
        <f>Таблица_навык_скиталец[[#This Row],[найти лут]]+AU100</f>
        <v>0.15000000000000002</v>
      </c>
      <c r="AV101" s="260">
        <v>-0.1</v>
      </c>
      <c r="AW101" s="261">
        <f>Таблица_навык_скиталец[[#This Row],[потеря троф.]]+AW100</f>
        <v>-0.30000000000000004</v>
      </c>
      <c r="AX101" s="260"/>
      <c r="AY101" s="261">
        <f>Таблица_навык_скиталец[[#This Row],[выйти из боя]]+AY100</f>
        <v>0.4</v>
      </c>
      <c r="BA101" s="115">
        <v>14</v>
      </c>
      <c r="BB101" s="116">
        <v>179000</v>
      </c>
      <c r="BC101" s="146">
        <f>Таблица_тренинг_И[[#This Row],[опыт]]+BC100</f>
        <v>614000</v>
      </c>
      <c r="BD101" s="260">
        <v>0.08</v>
      </c>
      <c r="BE101" s="322">
        <f>Таблица_тренинг_И[[#This Row],[интелект2]]+BE100</f>
        <v>1.1199999999999999</v>
      </c>
    </row>
    <row r="102" spans="1:57" x14ac:dyDescent="0.25">
      <c r="A102" s="115">
        <v>0</v>
      </c>
      <c r="B102" s="116">
        <v>0</v>
      </c>
      <c r="C102" s="146">
        <v>0</v>
      </c>
      <c r="D102" s="260"/>
      <c r="E102" s="261">
        <v>0</v>
      </c>
      <c r="F102" s="260"/>
      <c r="G102" s="261">
        <v>0</v>
      </c>
      <c r="H102" s="260"/>
      <c r="I102" s="261">
        <v>0</v>
      </c>
      <c r="M102" s="3"/>
      <c r="Q102" s="147">
        <v>0</v>
      </c>
      <c r="R102" s="132">
        <v>0</v>
      </c>
      <c r="S102" s="318">
        <v>0</v>
      </c>
      <c r="T102" s="315"/>
      <c r="U102" s="316">
        <v>0</v>
      </c>
      <c r="V102" s="315"/>
      <c r="W102" s="316">
        <v>0</v>
      </c>
      <c r="AE102" s="115">
        <v>10</v>
      </c>
      <c r="AF102" s="144">
        <v>29000</v>
      </c>
      <c r="AG102" s="146">
        <f>Таблица_навык_крепкое_здоровье[[#This Row],[опыт]]+AG101</f>
        <v>101000</v>
      </c>
      <c r="AH102" s="268">
        <v>2</v>
      </c>
      <c r="AI102" s="308">
        <f>Таблица_навык_крепкое_здоровье[[#This Row],[здоровье]]+AI101</f>
        <v>13</v>
      </c>
      <c r="AQ102" s="117">
        <v>9</v>
      </c>
      <c r="AR102" s="132">
        <v>30000</v>
      </c>
      <c r="AS102" s="318">
        <f>Таблица_навык_скиталец[[#This Row],[опыт]]+AS101</f>
        <v>96000</v>
      </c>
      <c r="AT102" s="260"/>
      <c r="AU102" s="261">
        <f>Таблица_навык_скиталец[[#This Row],[найти лут]]+AU101</f>
        <v>0.15000000000000002</v>
      </c>
      <c r="AV102" s="260"/>
      <c r="AW102" s="261">
        <f>Таблица_навык_скиталец[[#This Row],[потеря троф.]]+AW101</f>
        <v>-0.30000000000000004</v>
      </c>
      <c r="AX102" s="260">
        <v>0.2</v>
      </c>
      <c r="AY102" s="261">
        <f>Таблица_навык_скиталец[[#This Row],[выйти из боя]]+AY101</f>
        <v>0.60000000000000009</v>
      </c>
      <c r="BA102" s="115">
        <v>15</v>
      </c>
      <c r="BB102" s="116">
        <v>250000</v>
      </c>
      <c r="BC102" s="146">
        <f>Таблица_тренинг_И[[#This Row],[опыт]]+BC101</f>
        <v>864000</v>
      </c>
      <c r="BD102" s="260">
        <v>0.08</v>
      </c>
      <c r="BE102" s="322">
        <f>Таблица_тренинг_И[[#This Row],[интелект2]]+BE101</f>
        <v>1.2</v>
      </c>
    </row>
    <row r="103" spans="1:57" x14ac:dyDescent="0.25">
      <c r="A103" s="115">
        <v>1</v>
      </c>
      <c r="B103" s="132">
        <v>2000</v>
      </c>
      <c r="C103" s="146">
        <f>Таблица_навык_снайперские_винтовки[[#This Row],[опыт ]]+C102</f>
        <v>2000</v>
      </c>
      <c r="D103" s="260"/>
      <c r="E103" s="261">
        <f>Таблица_навык_снайперские_винтовки[[#This Row],[Крит. Поп.]]+E102</f>
        <v>0</v>
      </c>
      <c r="F103" s="270"/>
      <c r="G103" s="271">
        <f>Таблица_навык_снайперские_винтовки[[#This Row],[Крит. Урон СВ]]+G102</f>
        <v>0</v>
      </c>
      <c r="H103" s="270"/>
      <c r="I103" s="271">
        <f>Таблица_навык_снайперские_винтовки[[#This Row],[Урон СВ]]+I102</f>
        <v>0</v>
      </c>
      <c r="M103" s="3"/>
      <c r="Q103" s="147">
        <v>1</v>
      </c>
      <c r="R103" s="116">
        <v>1000</v>
      </c>
      <c r="S103" s="318">
        <f>Таблица_навык_ТБ[[#This Row],[опыт]]+S102</f>
        <v>1000</v>
      </c>
      <c r="T103" s="268"/>
      <c r="U103" s="316">
        <f>Таблица_навык_ТБ[[#This Row],[маскировка]]+U102</f>
        <v>0</v>
      </c>
      <c r="V103" s="315"/>
      <c r="W103" s="316">
        <f>Таблица_навык_ТБ[[#This Row],[крит уклонение]]+W102</f>
        <v>0</v>
      </c>
      <c r="AE103" s="115">
        <v>11</v>
      </c>
      <c r="AF103" s="144">
        <v>39000</v>
      </c>
      <c r="AG103" s="146">
        <f>Таблица_навык_крепкое_здоровье[[#This Row],[опыт]]+AG102</f>
        <v>140000</v>
      </c>
      <c r="AH103" s="268">
        <v>2</v>
      </c>
      <c r="AI103" s="308">
        <f>Таблица_навык_крепкое_здоровье[[#This Row],[здоровье]]+AI102</f>
        <v>15</v>
      </c>
      <c r="AQ103" s="117">
        <v>10</v>
      </c>
      <c r="AR103" s="132">
        <v>43000</v>
      </c>
      <c r="AS103" s="318">
        <f>Таблица_навык_скиталец[[#This Row],[опыт]]+AS102</f>
        <v>139000</v>
      </c>
      <c r="AT103" s="260">
        <v>0.05</v>
      </c>
      <c r="AU103" s="261">
        <f>Таблица_навык_скиталец[[#This Row],[найти лут]]+AU102</f>
        <v>0.2</v>
      </c>
      <c r="AV103" s="260"/>
      <c r="AW103" s="261">
        <f>Таблица_навык_скиталец[[#This Row],[потеря троф.]]+AW102</f>
        <v>-0.30000000000000004</v>
      </c>
      <c r="AX103" s="260"/>
      <c r="AY103" s="261">
        <f>Таблица_навык_скиталец[[#This Row],[выйти из боя]]+AY102</f>
        <v>0.60000000000000009</v>
      </c>
      <c r="BA103" s="115">
        <v>16</v>
      </c>
      <c r="BB103" s="116">
        <v>340000</v>
      </c>
      <c r="BC103" s="146">
        <f>Таблица_тренинг_И[[#This Row],[опыт]]+BC102</f>
        <v>1204000</v>
      </c>
      <c r="BD103" s="260">
        <v>0.08</v>
      </c>
      <c r="BE103" s="322">
        <f>Таблица_тренинг_И[[#This Row],[интелект2]]+BE102</f>
        <v>1.28</v>
      </c>
    </row>
    <row r="104" spans="1:57" x14ac:dyDescent="0.25">
      <c r="A104" s="115">
        <v>2</v>
      </c>
      <c r="B104" s="116">
        <v>14000</v>
      </c>
      <c r="C104" s="146">
        <f>Таблица_навык_снайперские_винтовки[[#This Row],[опыт ]]+C103</f>
        <v>16000</v>
      </c>
      <c r="D104" s="260">
        <v>0.02</v>
      </c>
      <c r="E104" s="261">
        <f>Таблица_навык_снайперские_винтовки[[#This Row],[Крит. Поп.]]+E103</f>
        <v>0.02</v>
      </c>
      <c r="F104" s="270"/>
      <c r="G104" s="271">
        <f>Таблица_навык_снайперские_винтовки[[#This Row],[Крит. Урон СВ]]+G103</f>
        <v>0</v>
      </c>
      <c r="H104" s="270"/>
      <c r="I104" s="271">
        <f>Таблица_навык_снайперские_винтовки[[#This Row],[Урон СВ]]+I103</f>
        <v>0</v>
      </c>
      <c r="M104" s="3"/>
      <c r="Q104" s="147">
        <v>2</v>
      </c>
      <c r="R104" s="116">
        <v>14000</v>
      </c>
      <c r="S104" s="318">
        <f>Таблица_навык_ТБ[[#This Row],[опыт]]+S103</f>
        <v>15000</v>
      </c>
      <c r="T104" s="268">
        <v>2</v>
      </c>
      <c r="U104" s="316">
        <f>Таблица_навык_ТБ[[#This Row],[маскировка]]+U103</f>
        <v>2</v>
      </c>
      <c r="V104" s="315"/>
      <c r="W104" s="316">
        <f>Таблица_навык_ТБ[[#This Row],[крит уклонение]]+W103</f>
        <v>0</v>
      </c>
      <c r="AE104" s="115">
        <v>12</v>
      </c>
      <c r="AF104" s="144">
        <v>52000</v>
      </c>
      <c r="AG104" s="146">
        <f>Таблица_навык_крепкое_здоровье[[#This Row],[опыт]]+AG103</f>
        <v>192000</v>
      </c>
      <c r="AH104" s="268">
        <v>2</v>
      </c>
      <c r="AI104" s="308">
        <f>Таблица_навык_крепкое_здоровье[[#This Row],[здоровье]]+AI103</f>
        <v>17</v>
      </c>
      <c r="AQ104" s="117">
        <v>11</v>
      </c>
      <c r="AR104" s="132">
        <v>59000</v>
      </c>
      <c r="AS104" s="318">
        <f>Таблица_навык_скиталец[[#This Row],[опыт]]+AS103</f>
        <v>198000</v>
      </c>
      <c r="AT104" s="260"/>
      <c r="AU104" s="261">
        <f>Таблица_навык_скиталец[[#This Row],[найти лут]]+AU103</f>
        <v>0.2</v>
      </c>
      <c r="AV104" s="260">
        <v>-0.1</v>
      </c>
      <c r="AW104" s="261">
        <f>Таблица_навык_скиталец[[#This Row],[потеря троф.]]+AW103</f>
        <v>-0.4</v>
      </c>
      <c r="AX104" s="260"/>
      <c r="AY104" s="261">
        <f>Таблица_навык_скиталец[[#This Row],[выйти из боя]]+AY103</f>
        <v>0.60000000000000009</v>
      </c>
      <c r="BA104" s="115">
        <v>17</v>
      </c>
      <c r="BB104" s="116">
        <v>471000</v>
      </c>
      <c r="BC104" s="146">
        <f>Таблица_тренинг_И[[#This Row],[опыт]]+BC103</f>
        <v>1675000</v>
      </c>
      <c r="BD104" s="260">
        <v>0.08</v>
      </c>
      <c r="BE104" s="322">
        <f>Таблица_тренинг_И[[#This Row],[интелект2]]+BE103</f>
        <v>1.36</v>
      </c>
    </row>
    <row r="105" spans="1:57" x14ac:dyDescent="0.25">
      <c r="A105" s="115">
        <v>3</v>
      </c>
      <c r="B105" s="132">
        <v>18000</v>
      </c>
      <c r="C105" s="146">
        <f>Таблица_навык_снайперские_винтовки[[#This Row],[опыт ]]+C104</f>
        <v>34000</v>
      </c>
      <c r="D105" s="260"/>
      <c r="E105" s="261">
        <f>Таблица_навык_снайперские_винтовки[[#This Row],[Крит. Поп.]]+E104</f>
        <v>0.02</v>
      </c>
      <c r="F105" s="270"/>
      <c r="G105" s="271">
        <f>Таблица_навык_снайперские_винтовки[[#This Row],[Крит. Урон СВ]]+G104</f>
        <v>0</v>
      </c>
      <c r="H105" s="270"/>
      <c r="I105" s="271">
        <f>Таблица_навык_снайперские_винтовки[[#This Row],[Урон СВ]]+I104</f>
        <v>0</v>
      </c>
      <c r="M105" s="3"/>
      <c r="Q105" s="147">
        <v>3</v>
      </c>
      <c r="R105" s="116">
        <v>17000</v>
      </c>
      <c r="S105" s="318">
        <f>Таблица_навык_ТБ[[#This Row],[опыт]]+S104</f>
        <v>32000</v>
      </c>
      <c r="T105" s="268"/>
      <c r="U105" s="316">
        <f>Таблица_навык_ТБ[[#This Row],[маскировка]]+U104</f>
        <v>2</v>
      </c>
      <c r="V105" s="315">
        <v>3</v>
      </c>
      <c r="W105" s="316">
        <f>Таблица_навык_ТБ[[#This Row],[крит уклонение]]+W104</f>
        <v>3</v>
      </c>
      <c r="AE105" s="115">
        <v>13</v>
      </c>
      <c r="AF105" s="144">
        <v>70000</v>
      </c>
      <c r="AG105" s="146">
        <f>Таблица_навык_крепкое_здоровье[[#This Row],[опыт]]+AG104</f>
        <v>262000</v>
      </c>
      <c r="AH105" s="268">
        <v>2</v>
      </c>
      <c r="AI105" s="308">
        <f>Таблица_навык_крепкое_здоровье[[#This Row],[здоровье]]+AI104</f>
        <v>19</v>
      </c>
      <c r="AQ105" s="117">
        <v>12</v>
      </c>
      <c r="AR105" s="132">
        <v>84000</v>
      </c>
      <c r="AS105" s="318">
        <f>Таблица_навык_скиталец[[#This Row],[опыт]]+AS104</f>
        <v>282000</v>
      </c>
      <c r="AT105" s="260"/>
      <c r="AU105" s="261">
        <f>Таблица_навык_скиталец[[#This Row],[найти лут]]+AU104</f>
        <v>0.2</v>
      </c>
      <c r="AV105" s="260"/>
      <c r="AW105" s="261">
        <f>Таблица_навык_скиталец[[#This Row],[потеря троф.]]+AW104</f>
        <v>-0.4</v>
      </c>
      <c r="AX105" s="260">
        <v>0.2</v>
      </c>
      <c r="AY105" s="261">
        <f>Таблица_навык_скиталец[[#This Row],[выйти из боя]]+AY104</f>
        <v>0.8</v>
      </c>
      <c r="BA105" s="115">
        <v>18</v>
      </c>
      <c r="BB105" s="116">
        <v>649000</v>
      </c>
      <c r="BC105" s="146">
        <f>Таблица_тренинг_И[[#This Row],[опыт]]+BC104</f>
        <v>2324000</v>
      </c>
      <c r="BD105" s="260">
        <v>0.08</v>
      </c>
      <c r="BE105" s="322">
        <f>Таблица_тренинг_И[[#This Row],[интелект2]]+BE104</f>
        <v>1.4400000000000002</v>
      </c>
    </row>
    <row r="106" spans="1:57" x14ac:dyDescent="0.25">
      <c r="A106" s="115">
        <v>4</v>
      </c>
      <c r="B106" s="116">
        <v>21000</v>
      </c>
      <c r="C106" s="146">
        <f>Таблица_навык_снайперские_винтовки[[#This Row],[опыт ]]+C105</f>
        <v>55000</v>
      </c>
      <c r="D106" s="260"/>
      <c r="E106" s="261">
        <f>Таблица_навык_снайперские_винтовки[[#This Row],[Крит. Поп.]]+E105</f>
        <v>0.02</v>
      </c>
      <c r="F106" s="270">
        <v>0.02</v>
      </c>
      <c r="G106" s="271">
        <f>Таблица_навык_снайперские_винтовки[[#This Row],[Крит. Урон СВ]]+G105</f>
        <v>0.02</v>
      </c>
      <c r="H106" s="270"/>
      <c r="I106" s="271">
        <f>Таблица_навык_снайперские_винтовки[[#This Row],[Урон СВ]]+I105</f>
        <v>0</v>
      </c>
      <c r="M106" s="3"/>
      <c r="Q106" s="147">
        <v>4</v>
      </c>
      <c r="R106" s="116">
        <v>21000</v>
      </c>
      <c r="S106" s="318">
        <f>Таблица_навык_ТБ[[#This Row],[опыт]]+S105</f>
        <v>53000</v>
      </c>
      <c r="T106" s="268">
        <v>2</v>
      </c>
      <c r="U106" s="316">
        <f>Таблица_навык_ТБ[[#This Row],[маскировка]]+U105</f>
        <v>4</v>
      </c>
      <c r="V106" s="315"/>
      <c r="W106" s="316">
        <f>Таблица_навык_ТБ[[#This Row],[крит уклонение]]+W105</f>
        <v>3</v>
      </c>
      <c r="AE106" s="115">
        <v>14</v>
      </c>
      <c r="AF106" s="144">
        <v>94000</v>
      </c>
      <c r="AG106" s="146">
        <f>Таблица_навык_крепкое_здоровье[[#This Row],[опыт]]+AG105</f>
        <v>356000</v>
      </c>
      <c r="AH106" s="268">
        <v>2</v>
      </c>
      <c r="AI106" s="308">
        <f>Таблица_навык_крепкое_здоровье[[#This Row],[здоровье]]+AI105</f>
        <v>21</v>
      </c>
      <c r="AQ106" s="117">
        <v>13</v>
      </c>
      <c r="AR106" s="132">
        <v>115000</v>
      </c>
      <c r="AS106" s="318">
        <f>Таблица_навык_скиталец[[#This Row],[опыт]]+AS105</f>
        <v>397000</v>
      </c>
      <c r="AT106" s="260">
        <v>0.05</v>
      </c>
      <c r="AU106" s="261">
        <f>Таблица_навык_скиталец[[#This Row],[найти лут]]+AU105</f>
        <v>0.25</v>
      </c>
      <c r="AV106" s="260"/>
      <c r="AW106" s="261">
        <f>Таблица_навык_скиталец[[#This Row],[потеря троф.]]+AW105</f>
        <v>-0.4</v>
      </c>
      <c r="AX106" s="260"/>
      <c r="AY106" s="261">
        <f>Таблица_навык_скиталец[[#This Row],[выйти из боя]]+AY105</f>
        <v>0.8</v>
      </c>
      <c r="BA106" s="115">
        <v>19</v>
      </c>
      <c r="BB106" s="116">
        <v>889000</v>
      </c>
      <c r="BC106" s="146">
        <f>Таблица_тренинг_И[[#This Row],[опыт]]+BC105</f>
        <v>3213000</v>
      </c>
      <c r="BD106" s="260">
        <v>0.08</v>
      </c>
      <c r="BE106" s="322">
        <f>Таблица_тренинг_И[[#This Row],[интелект2]]+BE105</f>
        <v>1.5200000000000002</v>
      </c>
    </row>
    <row r="107" spans="1:57" x14ac:dyDescent="0.25">
      <c r="A107" s="115">
        <v>5</v>
      </c>
      <c r="B107" s="132">
        <v>26000</v>
      </c>
      <c r="C107" s="146">
        <f>Таблица_навык_снайперские_винтовки[[#This Row],[опыт ]]+C106</f>
        <v>81000</v>
      </c>
      <c r="D107" s="260"/>
      <c r="E107" s="261">
        <f>Таблица_навык_снайперские_винтовки[[#This Row],[Крит. Поп.]]+E106</f>
        <v>0.02</v>
      </c>
      <c r="F107" s="270"/>
      <c r="G107" s="271">
        <f>Таблица_навык_снайперские_винтовки[[#This Row],[Крит. Урон СВ]]+G106</f>
        <v>0.02</v>
      </c>
      <c r="H107" s="270">
        <v>0.02</v>
      </c>
      <c r="I107" s="271">
        <f>Таблица_навык_снайперские_винтовки[[#This Row],[Урон СВ]]+I106</f>
        <v>0.02</v>
      </c>
      <c r="M107" s="3"/>
      <c r="Q107" s="147">
        <v>5</v>
      </c>
      <c r="R107" s="116">
        <v>26000</v>
      </c>
      <c r="S107" s="318">
        <f>Таблица_навык_ТБ[[#This Row],[опыт]]+S106</f>
        <v>79000</v>
      </c>
      <c r="T107" s="268"/>
      <c r="U107" s="316">
        <f>Таблица_навык_ТБ[[#This Row],[маскировка]]+U106</f>
        <v>4</v>
      </c>
      <c r="V107" s="315"/>
      <c r="W107" s="316">
        <f>Таблица_навык_ТБ[[#This Row],[крит уклонение]]+W106</f>
        <v>3</v>
      </c>
      <c r="AE107" s="115">
        <v>15</v>
      </c>
      <c r="AF107" s="144">
        <v>124000</v>
      </c>
      <c r="AG107" s="146">
        <f>Таблица_навык_крепкое_здоровье[[#This Row],[опыт]]+AG106</f>
        <v>480000</v>
      </c>
      <c r="AH107" s="268">
        <v>2</v>
      </c>
      <c r="AI107" s="308">
        <f>Таблица_навык_крепкое_здоровье[[#This Row],[здоровье]]+AI106</f>
        <v>23</v>
      </c>
      <c r="AQ107" s="117">
        <v>14</v>
      </c>
      <c r="AR107" s="132">
        <v>159000</v>
      </c>
      <c r="AS107" s="318">
        <f>Таблица_навык_скиталец[[#This Row],[опыт]]+AS106</f>
        <v>556000</v>
      </c>
      <c r="AT107" s="260"/>
      <c r="AU107" s="261">
        <f>Таблица_навык_скиталец[[#This Row],[найти лут]]+AU106</f>
        <v>0.25</v>
      </c>
      <c r="AV107" s="260">
        <v>-0.1</v>
      </c>
      <c r="AW107" s="261">
        <f>Таблица_навык_скиталец[[#This Row],[потеря троф.]]+AW106</f>
        <v>-0.5</v>
      </c>
      <c r="AX107" s="260"/>
      <c r="AY107" s="261">
        <f>Таблица_навык_скиталец[[#This Row],[выйти из боя]]+AY106</f>
        <v>0.8</v>
      </c>
      <c r="BA107" s="115">
        <v>20</v>
      </c>
      <c r="BB107" s="116">
        <v>1218000</v>
      </c>
      <c r="BC107" s="146">
        <f>Таблица_тренинг_И[[#This Row],[опыт]]+BC106</f>
        <v>4431000</v>
      </c>
      <c r="BD107" s="260">
        <v>0.08</v>
      </c>
      <c r="BE107" s="322">
        <f>Таблица_тренинг_И[[#This Row],[интелект2]]+BE106</f>
        <v>1.6000000000000003</v>
      </c>
    </row>
    <row r="108" spans="1:57" ht="16.5" thickBot="1" x14ac:dyDescent="0.3">
      <c r="A108" s="115">
        <v>6</v>
      </c>
      <c r="B108" s="116">
        <v>31000</v>
      </c>
      <c r="C108" s="146">
        <f>Таблица_навык_снайперские_винтовки[[#This Row],[опыт ]]+C107</f>
        <v>112000</v>
      </c>
      <c r="D108" s="260">
        <v>0.02</v>
      </c>
      <c r="E108" s="261">
        <f>Таблица_навык_снайперские_винтовки[[#This Row],[Крит. Поп.]]+E107</f>
        <v>0.04</v>
      </c>
      <c r="F108" s="270"/>
      <c r="G108" s="271">
        <f>Таблица_навык_снайперские_винтовки[[#This Row],[Крит. Урон СВ]]+G107</f>
        <v>0.02</v>
      </c>
      <c r="H108" s="270"/>
      <c r="I108" s="271">
        <f>Таблица_навык_снайперские_винтовки[[#This Row],[Урон СВ]]+I107</f>
        <v>0.02</v>
      </c>
      <c r="M108" s="3"/>
      <c r="Q108" s="147">
        <v>6</v>
      </c>
      <c r="R108" s="116">
        <v>31000</v>
      </c>
      <c r="S108" s="318">
        <f>Таблица_навык_ТБ[[#This Row],[опыт]]+S107</f>
        <v>110000</v>
      </c>
      <c r="T108" s="268"/>
      <c r="U108" s="316">
        <f>Таблица_навык_ТБ[[#This Row],[маскировка]]+U107</f>
        <v>4</v>
      </c>
      <c r="V108" s="315">
        <v>3</v>
      </c>
      <c r="W108" s="316">
        <f>Таблица_навык_ТБ[[#This Row],[крит уклонение]]+W107</f>
        <v>6</v>
      </c>
      <c r="AE108" s="115">
        <v>16</v>
      </c>
      <c r="AF108" s="144">
        <v>166000</v>
      </c>
      <c r="AG108" s="146">
        <f>Таблица_навык_крепкое_здоровье[[#This Row],[опыт]]+AG107</f>
        <v>646000</v>
      </c>
      <c r="AH108" s="268">
        <v>2</v>
      </c>
      <c r="AI108" s="308">
        <f>Таблица_навык_крепкое_здоровье[[#This Row],[здоровье]]+AI107</f>
        <v>25</v>
      </c>
      <c r="AQ108" s="148">
        <v>15</v>
      </c>
      <c r="AR108" s="133">
        <v>219000</v>
      </c>
      <c r="AS108" s="274">
        <f>Таблица_навык_скиталец[[#This Row],[опыт]]+AS107</f>
        <v>775000</v>
      </c>
      <c r="AT108" s="266"/>
      <c r="AU108" s="264">
        <f>Таблица_навык_скиталец[[#This Row],[найти лут]]+AU107</f>
        <v>0.25</v>
      </c>
      <c r="AV108" s="266"/>
      <c r="AW108" s="264">
        <f>Таблица_навык_скиталец[[#This Row],[потеря троф.]]+AW107</f>
        <v>-0.5</v>
      </c>
      <c r="AX108" s="266">
        <v>0.2</v>
      </c>
      <c r="AY108" s="264">
        <f>Таблица_навык_скиталец[[#This Row],[выйти из боя]]+AY107</f>
        <v>1</v>
      </c>
      <c r="BA108" s="115">
        <v>21</v>
      </c>
      <c r="BB108" s="116">
        <v>1663000</v>
      </c>
      <c r="BC108" s="146">
        <f>Таблица_тренинг_И[[#This Row],[опыт]]+BC107</f>
        <v>6094000</v>
      </c>
      <c r="BD108" s="260">
        <v>0.08</v>
      </c>
      <c r="BE108" s="322">
        <f>Таблица_тренинг_И[[#This Row],[интелект2]]+BE107</f>
        <v>1.6800000000000004</v>
      </c>
    </row>
    <row r="109" spans="1:57" ht="16.5" thickBot="1" x14ac:dyDescent="0.3">
      <c r="A109" s="115">
        <v>7</v>
      </c>
      <c r="B109" s="132">
        <v>38000</v>
      </c>
      <c r="C109" s="146">
        <f>Таблица_навык_снайперские_винтовки[[#This Row],[опыт ]]+C108</f>
        <v>150000</v>
      </c>
      <c r="D109" s="260"/>
      <c r="E109" s="261">
        <f>Таблица_навык_снайперские_винтовки[[#This Row],[Крит. Поп.]]+E108</f>
        <v>0.04</v>
      </c>
      <c r="F109" s="270"/>
      <c r="G109" s="271">
        <f>Таблица_навык_снайперские_винтовки[[#This Row],[Крит. Урон СВ]]+G108</f>
        <v>0.02</v>
      </c>
      <c r="H109" s="270"/>
      <c r="I109" s="271">
        <f>Таблица_навык_снайперские_винтовки[[#This Row],[Урон СВ]]+I108</f>
        <v>0.02</v>
      </c>
      <c r="M109" s="3"/>
      <c r="Q109" s="147">
        <v>7</v>
      </c>
      <c r="R109" s="116">
        <v>37000</v>
      </c>
      <c r="S109" s="318">
        <f>Таблица_навык_ТБ[[#This Row],[опыт]]+S108</f>
        <v>147000</v>
      </c>
      <c r="T109" s="268">
        <v>2</v>
      </c>
      <c r="U109" s="316">
        <f>Таблица_навык_ТБ[[#This Row],[маскировка]]+U108</f>
        <v>6</v>
      </c>
      <c r="V109" s="315"/>
      <c r="W109" s="316">
        <f>Таблица_навык_ТБ[[#This Row],[крит уклонение]]+W108</f>
        <v>6</v>
      </c>
      <c r="AE109" s="115">
        <v>17</v>
      </c>
      <c r="AF109" s="144">
        <v>218000</v>
      </c>
      <c r="AG109" s="146">
        <f>Таблица_навык_крепкое_здоровье[[#This Row],[опыт]]+AG108</f>
        <v>864000</v>
      </c>
      <c r="AH109" s="268">
        <v>2</v>
      </c>
      <c r="AI109" s="308">
        <f>Таблица_навык_крепкое_здоровье[[#This Row],[здоровье]]+AI108</f>
        <v>27</v>
      </c>
      <c r="BA109" s="115">
        <v>22</v>
      </c>
      <c r="BB109" s="116">
        <v>2270000</v>
      </c>
      <c r="BC109" s="146">
        <f>Таблица_тренинг_И[[#This Row],[опыт]]+BC108</f>
        <v>8364000</v>
      </c>
      <c r="BD109" s="260">
        <v>0.08</v>
      </c>
      <c r="BE109" s="322">
        <f>Таблица_тренинг_И[[#This Row],[интелект2]]+BE108</f>
        <v>1.7600000000000005</v>
      </c>
    </row>
    <row r="110" spans="1:57" x14ac:dyDescent="0.25">
      <c r="A110" s="115">
        <v>8</v>
      </c>
      <c r="B110" s="116">
        <v>44000</v>
      </c>
      <c r="C110" s="146">
        <f>Таблица_навык_снайперские_винтовки[[#This Row],[опыт ]]+C109</f>
        <v>194000</v>
      </c>
      <c r="D110" s="260"/>
      <c r="E110" s="261">
        <f>Таблица_навык_снайперские_винтовки[[#This Row],[Крит. Поп.]]+E109</f>
        <v>0.04</v>
      </c>
      <c r="F110" s="270">
        <v>0.02</v>
      </c>
      <c r="G110" s="271">
        <f>Таблица_навык_снайперские_винтовки[[#This Row],[Крит. Урон СВ]]+G109</f>
        <v>0.04</v>
      </c>
      <c r="H110" s="270"/>
      <c r="I110" s="271">
        <f>Таблица_навык_снайперские_винтовки[[#This Row],[Урон СВ]]+I109</f>
        <v>0.02</v>
      </c>
      <c r="M110" s="3"/>
      <c r="Q110" s="147">
        <v>8</v>
      </c>
      <c r="R110" s="116">
        <v>44000</v>
      </c>
      <c r="S110" s="318">
        <f>Таблица_навык_ТБ[[#This Row],[опыт]]+S109</f>
        <v>191000</v>
      </c>
      <c r="T110" s="268"/>
      <c r="U110" s="316">
        <f>Таблица_навык_ТБ[[#This Row],[маскировка]]+U109</f>
        <v>6</v>
      </c>
      <c r="V110" s="315">
        <v>3</v>
      </c>
      <c r="W110" s="316">
        <f>Таблица_навык_ТБ[[#This Row],[крит уклонение]]+W109</f>
        <v>9</v>
      </c>
      <c r="AE110" s="115">
        <v>18</v>
      </c>
      <c r="AF110" s="144">
        <v>289000</v>
      </c>
      <c r="AG110" s="146">
        <f>Таблица_навык_крепкое_здоровье[[#This Row],[опыт]]+AG109</f>
        <v>1153000</v>
      </c>
      <c r="AH110" s="268">
        <v>2</v>
      </c>
      <c r="AI110" s="308">
        <f>Таблица_навык_крепкое_здоровье[[#This Row],[здоровье]]+AI109</f>
        <v>29</v>
      </c>
      <c r="AQ110" s="111" t="s">
        <v>160</v>
      </c>
      <c r="AR110" s="112" t="s">
        <v>153</v>
      </c>
      <c r="AS110" s="114" t="s">
        <v>495</v>
      </c>
      <c r="AT110" s="334" t="s">
        <v>535</v>
      </c>
      <c r="AU110" s="336" t="s">
        <v>536</v>
      </c>
      <c r="AV110" s="334" t="s">
        <v>537</v>
      </c>
      <c r="AW110" s="336" t="s">
        <v>538</v>
      </c>
      <c r="AX110" s="334" t="s">
        <v>53</v>
      </c>
      <c r="AY110" s="336" t="s">
        <v>496</v>
      </c>
      <c r="BA110" s="115">
        <v>23</v>
      </c>
      <c r="BB110" s="116">
        <v>3090000</v>
      </c>
      <c r="BC110" s="146">
        <f>Таблица_тренинг_И[[#This Row],[опыт]]+BC109</f>
        <v>11454000</v>
      </c>
      <c r="BD110" s="260">
        <v>0.08</v>
      </c>
      <c r="BE110" s="322">
        <f>Таблица_тренинг_И[[#This Row],[интелект2]]+BE109</f>
        <v>1.8400000000000005</v>
      </c>
    </row>
    <row r="111" spans="1:57" x14ac:dyDescent="0.25">
      <c r="A111" s="115">
        <v>9</v>
      </c>
      <c r="B111" s="132">
        <v>53000</v>
      </c>
      <c r="C111" s="146">
        <f>Таблица_навык_снайперские_винтовки[[#This Row],[опыт ]]+C110</f>
        <v>247000</v>
      </c>
      <c r="D111" s="260"/>
      <c r="E111" s="261">
        <f>Таблица_навык_снайперские_винтовки[[#This Row],[Крит. Поп.]]+E110</f>
        <v>0.04</v>
      </c>
      <c r="F111" s="270"/>
      <c r="G111" s="271">
        <f>Таблица_навык_снайперские_винтовки[[#This Row],[Крит. Урон СВ]]+G110</f>
        <v>0.04</v>
      </c>
      <c r="H111" s="270">
        <v>0.02</v>
      </c>
      <c r="I111" s="271">
        <f>Таблица_навык_снайперские_винтовки[[#This Row],[Урон СВ]]+I110</f>
        <v>0.04</v>
      </c>
      <c r="M111" s="3"/>
      <c r="Q111" s="147">
        <v>9</v>
      </c>
      <c r="R111" s="116">
        <v>53000</v>
      </c>
      <c r="S111" s="318">
        <f>Таблица_навык_ТБ[[#This Row],[опыт]]+S110</f>
        <v>244000</v>
      </c>
      <c r="T111" s="268">
        <v>2</v>
      </c>
      <c r="U111" s="316">
        <f>Таблица_навык_ТБ[[#This Row],[маскировка]]+U110</f>
        <v>8</v>
      </c>
      <c r="V111" s="315"/>
      <c r="W111" s="316">
        <f>Таблица_навык_ТБ[[#This Row],[крит уклонение]]+W110</f>
        <v>9</v>
      </c>
      <c r="AE111" s="115">
        <v>19</v>
      </c>
      <c r="AF111" s="144">
        <v>381000</v>
      </c>
      <c r="AG111" s="146">
        <f>Таблица_навык_крепкое_здоровье[[#This Row],[опыт]]+AG110</f>
        <v>1534000</v>
      </c>
      <c r="AH111" s="268">
        <v>2</v>
      </c>
      <c r="AI111" s="308">
        <f>Таблица_навык_крепкое_здоровье[[#This Row],[здоровье]]+AI110</f>
        <v>31</v>
      </c>
      <c r="AQ111" s="115">
        <v>0</v>
      </c>
      <c r="AR111" s="116">
        <v>0</v>
      </c>
      <c r="AS111" s="146">
        <v>0</v>
      </c>
      <c r="AT111" s="262"/>
      <c r="AU111" s="322">
        <v>0</v>
      </c>
      <c r="AV111" s="262"/>
      <c r="AW111" s="322">
        <v>0</v>
      </c>
      <c r="AX111" s="262"/>
      <c r="AY111" s="322">
        <v>0</v>
      </c>
      <c r="BA111" s="115">
        <v>24</v>
      </c>
      <c r="BB111" s="116">
        <v>4203000</v>
      </c>
      <c r="BC111" s="146">
        <f>Таблица_тренинг_И[[#This Row],[опыт]]+BC110</f>
        <v>15657000</v>
      </c>
      <c r="BD111" s="260">
        <v>0.08</v>
      </c>
      <c r="BE111" s="322">
        <f>Таблица_тренинг_И[[#This Row],[интелект2]]+BE110</f>
        <v>1.9200000000000006</v>
      </c>
    </row>
    <row r="112" spans="1:57" ht="16.5" thickBot="1" x14ac:dyDescent="0.3">
      <c r="A112" s="115">
        <v>10</v>
      </c>
      <c r="B112" s="116">
        <v>62000</v>
      </c>
      <c r="C112" s="146">
        <f>Таблица_навык_снайперские_винтовки[[#This Row],[опыт ]]+C111</f>
        <v>309000</v>
      </c>
      <c r="D112" s="260"/>
      <c r="E112" s="261">
        <f>Таблица_навык_снайперские_винтовки[[#This Row],[Крит. Поп.]]+E111</f>
        <v>0.04</v>
      </c>
      <c r="F112" s="270"/>
      <c r="G112" s="271">
        <f>Таблица_навык_снайперские_винтовки[[#This Row],[Крит. Урон СВ]]+G111</f>
        <v>0.04</v>
      </c>
      <c r="H112" s="270"/>
      <c r="I112" s="271">
        <f>Таблица_навык_снайперские_винтовки[[#This Row],[Урон СВ]]+I111</f>
        <v>0.04</v>
      </c>
      <c r="M112" s="3"/>
      <c r="Q112" s="147">
        <v>10</v>
      </c>
      <c r="R112" s="116">
        <v>63000</v>
      </c>
      <c r="S112" s="318">
        <f>Таблица_навык_ТБ[[#This Row],[опыт]]+S111</f>
        <v>307000</v>
      </c>
      <c r="T112" s="268"/>
      <c r="U112" s="316">
        <f>Таблица_навык_ТБ[[#This Row],[маскировка]]+U111</f>
        <v>8</v>
      </c>
      <c r="V112" s="315"/>
      <c r="W112" s="316">
        <f>Таблица_навык_ТБ[[#This Row],[крит уклонение]]+W111</f>
        <v>9</v>
      </c>
      <c r="AE112" s="115">
        <v>20</v>
      </c>
      <c r="AF112" s="144">
        <v>500000</v>
      </c>
      <c r="AG112" s="146">
        <f>Таблица_навык_крепкое_здоровье[[#This Row],[опыт]]+AG111</f>
        <v>2034000</v>
      </c>
      <c r="AH112" s="268">
        <v>2</v>
      </c>
      <c r="AI112" s="308">
        <f>Таблица_навык_крепкое_здоровье[[#This Row],[здоровье]]+AI111</f>
        <v>33</v>
      </c>
      <c r="AQ112" s="115">
        <v>1</v>
      </c>
      <c r="AR112" s="116">
        <v>1000</v>
      </c>
      <c r="AS112" s="146">
        <f>Таблица_навык_ксенофизиология[[#This Row],[опыт]]+AS111</f>
        <v>1000</v>
      </c>
      <c r="AT112" s="262">
        <v>0.02</v>
      </c>
      <c r="AU112" s="322">
        <f>Таблица_навык_ксенофизиология[[#This Row],[крит. Попад.]]+AU111</f>
        <v>0.02</v>
      </c>
      <c r="AV112" s="262">
        <v>0.05</v>
      </c>
      <c r="AW112" s="322">
        <f>Таблица_навык_ксенофизиология[[#This Row],[крит. Урон]]+AW111</f>
        <v>0.05</v>
      </c>
      <c r="AX112" s="262">
        <v>0.01</v>
      </c>
      <c r="AY112" s="322">
        <f>Таблица_навык_ксенофизиология[[#This Row],[урон]]+AY111</f>
        <v>0.01</v>
      </c>
      <c r="BA112" s="118">
        <v>25</v>
      </c>
      <c r="BB112" s="119">
        <v>5709000</v>
      </c>
      <c r="BC112" s="274">
        <f>Таблица_тренинг_И[[#This Row],[опыт]]+BC111</f>
        <v>21366000</v>
      </c>
      <c r="BD112" s="263">
        <v>0.08</v>
      </c>
      <c r="BE112" s="323">
        <f>Таблица_тренинг_И[[#This Row],[интелект2]]+BE111</f>
        <v>2.0000000000000004</v>
      </c>
    </row>
    <row r="113" spans="1:57" ht="16.5" thickBot="1" x14ac:dyDescent="0.3">
      <c r="A113" s="115">
        <v>11</v>
      </c>
      <c r="B113" s="132">
        <v>74000</v>
      </c>
      <c r="C113" s="146">
        <f>Таблица_навык_снайперские_винтовки[[#This Row],[опыт ]]+C112</f>
        <v>383000</v>
      </c>
      <c r="D113" s="260">
        <v>0.02</v>
      </c>
      <c r="E113" s="261">
        <f>Таблица_навык_снайперские_винтовки[[#This Row],[Крит. Поп.]]+E112</f>
        <v>0.06</v>
      </c>
      <c r="F113" s="270"/>
      <c r="G113" s="271">
        <f>Таблица_навык_снайперские_винтовки[[#This Row],[Крит. Урон СВ]]+G112</f>
        <v>0.04</v>
      </c>
      <c r="H113" s="270"/>
      <c r="I113" s="271">
        <f>Таблица_навык_снайперские_винтовки[[#This Row],[Урон СВ]]+I112</f>
        <v>0.04</v>
      </c>
      <c r="M113" s="3"/>
      <c r="Q113" s="147">
        <v>11</v>
      </c>
      <c r="R113" s="116">
        <v>74000</v>
      </c>
      <c r="S113" s="318">
        <f>Таблица_навык_ТБ[[#This Row],[опыт]]+S112</f>
        <v>381000</v>
      </c>
      <c r="T113" s="268"/>
      <c r="U113" s="316">
        <f>Таблица_навык_ТБ[[#This Row],[маскировка]]+U112</f>
        <v>8</v>
      </c>
      <c r="V113" s="315">
        <v>3</v>
      </c>
      <c r="W113" s="316">
        <f>Таблица_навык_ТБ[[#This Row],[крит уклонение]]+W112</f>
        <v>12</v>
      </c>
      <c r="AE113" s="115">
        <v>21</v>
      </c>
      <c r="AF113" s="144">
        <v>658000</v>
      </c>
      <c r="AG113" s="146">
        <f>Таблица_навык_крепкое_здоровье[[#This Row],[опыт]]+AG112</f>
        <v>2692000</v>
      </c>
      <c r="AH113" s="268">
        <v>2</v>
      </c>
      <c r="AI113" s="308">
        <f>Таблица_навык_крепкое_здоровье[[#This Row],[здоровье]]+AI112</f>
        <v>35</v>
      </c>
      <c r="AQ113" s="115">
        <v>2</v>
      </c>
      <c r="AR113" s="116">
        <v>2000</v>
      </c>
      <c r="AS113" s="146">
        <f>Таблица_навык_ксенофизиология[[#This Row],[опыт]]+AS112</f>
        <v>3000</v>
      </c>
      <c r="AT113" s="262">
        <v>0.02</v>
      </c>
      <c r="AU113" s="322">
        <f>Таблица_навык_ксенофизиология[[#This Row],[крит. Попад.]]+AU112</f>
        <v>0.04</v>
      </c>
      <c r="AV113" s="262">
        <v>0.05</v>
      </c>
      <c r="AW113" s="322">
        <f>Таблица_навык_ксенофизиология[[#This Row],[крит. Урон]]+AW112</f>
        <v>0.1</v>
      </c>
      <c r="AX113" s="262">
        <v>0.01</v>
      </c>
      <c r="AY113" s="322">
        <f>Таблица_навык_ксенофизиология[[#This Row],[урон]]+AY112</f>
        <v>0.02</v>
      </c>
    </row>
    <row r="114" spans="1:57" x14ac:dyDescent="0.25">
      <c r="A114" s="115">
        <v>12</v>
      </c>
      <c r="B114" s="116">
        <v>86000</v>
      </c>
      <c r="C114" s="146">
        <f>Таблица_навык_снайперские_винтовки[[#This Row],[опыт ]]+C113</f>
        <v>469000</v>
      </c>
      <c r="D114" s="260"/>
      <c r="E114" s="261">
        <f>Таблица_навык_снайперские_винтовки[[#This Row],[Крит. Поп.]]+E113</f>
        <v>0.06</v>
      </c>
      <c r="F114" s="270">
        <v>0.02</v>
      </c>
      <c r="G114" s="271">
        <f>Таблица_навык_снайперские_винтовки[[#This Row],[Крит. Урон СВ]]+G113</f>
        <v>0.06</v>
      </c>
      <c r="H114" s="270"/>
      <c r="I114" s="271">
        <f>Таблица_навык_снайперские_винтовки[[#This Row],[Урон СВ]]+I113</f>
        <v>0.04</v>
      </c>
      <c r="M114" s="3"/>
      <c r="Q114" s="147">
        <v>12</v>
      </c>
      <c r="R114" s="116">
        <v>88000</v>
      </c>
      <c r="S114" s="318">
        <f>Таблица_навык_ТБ[[#This Row],[опыт]]+S113</f>
        <v>469000</v>
      </c>
      <c r="T114" s="268">
        <v>1</v>
      </c>
      <c r="U114" s="316">
        <f>Таблица_навык_ТБ[[#This Row],[маскировка]]+U113</f>
        <v>9</v>
      </c>
      <c r="V114" s="315"/>
      <c r="W114" s="316">
        <f>Таблица_навык_ТБ[[#This Row],[крит уклонение]]+W113</f>
        <v>12</v>
      </c>
      <c r="AE114" s="115">
        <v>22</v>
      </c>
      <c r="AF114" s="144">
        <v>861000</v>
      </c>
      <c r="AG114" s="146">
        <f>Таблица_навык_крепкое_здоровье[[#This Row],[опыт]]+AG113</f>
        <v>3553000</v>
      </c>
      <c r="AH114" s="268">
        <v>2</v>
      </c>
      <c r="AI114" s="308">
        <f>Таблица_навык_крепкое_здоровье[[#This Row],[здоровье]]+AI113</f>
        <v>37</v>
      </c>
      <c r="AQ114" s="115">
        <v>3</v>
      </c>
      <c r="AR114" s="116">
        <v>2000</v>
      </c>
      <c r="AS114" s="146">
        <f>Таблица_навык_ксенофизиология[[#This Row],[опыт]]+AS113</f>
        <v>5000</v>
      </c>
      <c r="AT114" s="262">
        <v>0.02</v>
      </c>
      <c r="AU114" s="322">
        <f>Таблица_навык_ксенофизиология[[#This Row],[крит. Попад.]]+AU113</f>
        <v>0.06</v>
      </c>
      <c r="AV114" s="262">
        <v>0.05</v>
      </c>
      <c r="AW114" s="322">
        <f>Таблица_навык_ксенофизиология[[#This Row],[крит. Урон]]+AW113</f>
        <v>0.15000000000000002</v>
      </c>
      <c r="AX114" s="262">
        <v>0.01</v>
      </c>
      <c r="AY114" s="322">
        <f>Таблица_навык_ксенофизиология[[#This Row],[урон]]+AY113</f>
        <v>0.03</v>
      </c>
      <c r="BA114" s="6" t="s">
        <v>150</v>
      </c>
      <c r="BB114" s="154" t="s">
        <v>153</v>
      </c>
      <c r="BC114" s="164" t="s">
        <v>495</v>
      </c>
      <c r="BD114" s="342" t="s">
        <v>543</v>
      </c>
      <c r="BE114" s="230" t="s">
        <v>496</v>
      </c>
    </row>
    <row r="115" spans="1:57" x14ac:dyDescent="0.25">
      <c r="A115" s="115">
        <v>13</v>
      </c>
      <c r="B115" s="132">
        <v>102000</v>
      </c>
      <c r="C115" s="146">
        <f>Таблица_навык_снайперские_винтовки[[#This Row],[опыт ]]+C114</f>
        <v>571000</v>
      </c>
      <c r="D115" s="260"/>
      <c r="E115" s="261">
        <f>Таблица_навык_снайперские_винтовки[[#This Row],[Крит. Поп.]]+E114</f>
        <v>0.06</v>
      </c>
      <c r="F115" s="270"/>
      <c r="G115" s="271">
        <f>Таблица_навык_снайперские_винтовки[[#This Row],[Крит. Урон СВ]]+G114</f>
        <v>0.06</v>
      </c>
      <c r="H115" s="270">
        <v>0.02</v>
      </c>
      <c r="I115" s="271">
        <f>Таблица_навык_снайперские_винтовки[[#This Row],[Урон СВ]]+I114</f>
        <v>0.06</v>
      </c>
      <c r="M115" s="3"/>
      <c r="Q115" s="147">
        <v>13</v>
      </c>
      <c r="R115" s="116">
        <v>103000</v>
      </c>
      <c r="S115" s="318">
        <f>Таблица_навык_ТБ[[#This Row],[опыт]]+S114</f>
        <v>572000</v>
      </c>
      <c r="T115" s="268"/>
      <c r="U115" s="316">
        <f>Таблица_навык_ТБ[[#This Row],[маскировка]]+U114</f>
        <v>9</v>
      </c>
      <c r="V115" s="315">
        <v>3</v>
      </c>
      <c r="W115" s="316">
        <f>Таблица_навык_ТБ[[#This Row],[крит уклонение]]+W114</f>
        <v>15</v>
      </c>
      <c r="AE115" s="115">
        <v>23</v>
      </c>
      <c r="AF115" s="144">
        <v>1127000</v>
      </c>
      <c r="AG115" s="146">
        <f>Таблица_навык_крепкое_здоровье[[#This Row],[опыт]]+AG114</f>
        <v>4680000</v>
      </c>
      <c r="AH115" s="268">
        <v>2</v>
      </c>
      <c r="AI115" s="308">
        <f>Таблица_навык_крепкое_здоровье[[#This Row],[здоровье]]+AI114</f>
        <v>39</v>
      </c>
      <c r="AQ115" s="115">
        <v>4</v>
      </c>
      <c r="AR115" s="116">
        <v>4000</v>
      </c>
      <c r="AS115" s="146">
        <f>Таблица_навык_ксенофизиология[[#This Row],[опыт]]+AS114</f>
        <v>9000</v>
      </c>
      <c r="AT115" s="262">
        <v>0.02</v>
      </c>
      <c r="AU115" s="322">
        <f>Таблица_навык_ксенофизиология[[#This Row],[крит. Попад.]]+AU114</f>
        <v>0.08</v>
      </c>
      <c r="AV115" s="262">
        <v>0.05</v>
      </c>
      <c r="AW115" s="322">
        <f>Таблица_навык_ксенофизиология[[#This Row],[крит. Урон]]+AW114</f>
        <v>0.2</v>
      </c>
      <c r="AX115" s="262">
        <v>0.01</v>
      </c>
      <c r="AY115" s="322">
        <f>Таблица_навык_ксенофизиология[[#This Row],[урон]]+AY114</f>
        <v>0.04</v>
      </c>
      <c r="BA115" s="110">
        <v>0</v>
      </c>
      <c r="BB115" s="110">
        <v>0</v>
      </c>
      <c r="BC115" s="110">
        <v>0</v>
      </c>
      <c r="BD115" s="184"/>
      <c r="BE115" s="231">
        <v>0</v>
      </c>
    </row>
    <row r="116" spans="1:57" x14ac:dyDescent="0.25">
      <c r="A116" s="115">
        <v>14</v>
      </c>
      <c r="B116" s="116">
        <v>119000</v>
      </c>
      <c r="C116" s="146">
        <f>Таблица_навык_снайперские_винтовки[[#This Row],[опыт ]]+C115</f>
        <v>690000</v>
      </c>
      <c r="D116" s="260"/>
      <c r="E116" s="261">
        <f>Таблица_навык_снайперские_винтовки[[#This Row],[Крит. Поп.]]+E115</f>
        <v>0.06</v>
      </c>
      <c r="F116" s="270"/>
      <c r="G116" s="271">
        <f>Таблица_навык_снайперские_винтовки[[#This Row],[Крит. Урон СВ]]+G115</f>
        <v>0.06</v>
      </c>
      <c r="H116" s="270"/>
      <c r="I116" s="271">
        <f>Таблица_навык_снайперские_винтовки[[#This Row],[Урон СВ]]+I115</f>
        <v>0.06</v>
      </c>
      <c r="M116" s="3"/>
      <c r="Q116" s="147">
        <v>14</v>
      </c>
      <c r="R116" s="116">
        <v>122000</v>
      </c>
      <c r="S116" s="318">
        <f>Таблица_навык_ТБ[[#This Row],[опыт]]+S115</f>
        <v>694000</v>
      </c>
      <c r="T116" s="268"/>
      <c r="U116" s="316">
        <f>Таблица_навык_ТБ[[#This Row],[маскировка]]+U115</f>
        <v>9</v>
      </c>
      <c r="V116" s="315"/>
      <c r="W116" s="316">
        <f>Таблица_навык_ТБ[[#This Row],[крит уклонение]]+W115</f>
        <v>15</v>
      </c>
      <c r="AE116" s="115">
        <v>24</v>
      </c>
      <c r="AF116" s="144">
        <v>1473000</v>
      </c>
      <c r="AG116" s="146">
        <f>Таблица_навык_крепкое_здоровье[[#This Row],[опыт]]+AG115</f>
        <v>6153000</v>
      </c>
      <c r="AH116" s="268">
        <v>2</v>
      </c>
      <c r="AI116" s="308">
        <f>Таблица_навык_крепкое_здоровье[[#This Row],[здоровье]]+AI115</f>
        <v>41</v>
      </c>
      <c r="AQ116" s="115">
        <v>5</v>
      </c>
      <c r="AR116" s="116">
        <v>5000</v>
      </c>
      <c r="AS116" s="146">
        <f>Таблица_навык_ксенофизиология[[#This Row],[опыт]]+AS115</f>
        <v>14000</v>
      </c>
      <c r="AT116" s="262">
        <v>0.02</v>
      </c>
      <c r="AU116" s="322">
        <f>Таблица_навык_ксенофизиология[[#This Row],[крит. Попад.]]+AU115</f>
        <v>0.1</v>
      </c>
      <c r="AV116" s="262">
        <v>0.05</v>
      </c>
      <c r="AW116" s="322">
        <f>Таблица_навык_ксенофизиология[[#This Row],[крит. Урон]]+AW115</f>
        <v>0.25</v>
      </c>
      <c r="AX116" s="262">
        <v>0.01</v>
      </c>
      <c r="AY116" s="322">
        <f>Таблица_навык_ксенофизиология[[#This Row],[урон]]+AY115</f>
        <v>0.05</v>
      </c>
      <c r="BA116" s="110">
        <v>1</v>
      </c>
      <c r="BB116" s="110">
        <v>1000</v>
      </c>
      <c r="BC116" s="110">
        <f>Таблица_тренинг_Т[[#This Row],[опыт]]+BC115</f>
        <v>1000</v>
      </c>
      <c r="BD116" s="184">
        <v>0.08</v>
      </c>
      <c r="BE116" s="231">
        <f>Таблица_тренинг_Т[[#This Row],[телосложение2]]+BE115</f>
        <v>0.08</v>
      </c>
    </row>
    <row r="117" spans="1:57" x14ac:dyDescent="0.25">
      <c r="A117" s="115">
        <v>15</v>
      </c>
      <c r="B117" s="132">
        <v>139000</v>
      </c>
      <c r="C117" s="146">
        <f>Таблица_навык_снайперские_винтовки[[#This Row],[опыт ]]+C116</f>
        <v>829000</v>
      </c>
      <c r="D117" s="260">
        <v>0.02</v>
      </c>
      <c r="E117" s="261">
        <f>Таблица_навык_снайперские_винтовки[[#This Row],[Крит. Поп.]]+E116</f>
        <v>0.08</v>
      </c>
      <c r="F117" s="270"/>
      <c r="G117" s="271">
        <f>Таблица_навык_снайперские_винтовки[[#This Row],[Крит. Урон СВ]]+G116</f>
        <v>0.06</v>
      </c>
      <c r="H117" s="270"/>
      <c r="I117" s="271">
        <f>Таблица_навык_снайперские_винтовки[[#This Row],[Урон СВ]]+I116</f>
        <v>0.06</v>
      </c>
      <c r="M117" s="3"/>
      <c r="Q117" s="147">
        <v>15</v>
      </c>
      <c r="R117" s="116">
        <v>143000</v>
      </c>
      <c r="S117" s="318">
        <f>Таблица_навык_ТБ[[#This Row],[опыт]]+S116</f>
        <v>837000</v>
      </c>
      <c r="T117" s="268">
        <v>1</v>
      </c>
      <c r="U117" s="316">
        <f>Таблица_навык_ТБ[[#This Row],[маскировка]]+U116</f>
        <v>10</v>
      </c>
      <c r="V117" s="315"/>
      <c r="W117" s="316">
        <f>Таблица_навык_ТБ[[#This Row],[крит уклонение]]+W116</f>
        <v>15</v>
      </c>
      <c r="AE117" s="115">
        <v>25</v>
      </c>
      <c r="AF117" s="144">
        <v>1923000</v>
      </c>
      <c r="AG117" s="146">
        <f>Таблица_навык_крепкое_здоровье[[#This Row],[опыт]]+AG116</f>
        <v>8076000</v>
      </c>
      <c r="AH117" s="268">
        <v>2</v>
      </c>
      <c r="AI117" s="308">
        <f>Таблица_навык_крепкое_здоровье[[#This Row],[здоровье]]+AI116</f>
        <v>43</v>
      </c>
      <c r="AQ117" s="115">
        <v>6</v>
      </c>
      <c r="AR117" s="116">
        <v>6000</v>
      </c>
      <c r="AS117" s="146">
        <f>Таблица_навык_ксенофизиология[[#This Row],[опыт]]+AS116</f>
        <v>20000</v>
      </c>
      <c r="AT117" s="262">
        <v>0.02</v>
      </c>
      <c r="AU117" s="322">
        <f>Таблица_навык_ксенофизиология[[#This Row],[крит. Попад.]]+AU116</f>
        <v>0.12000000000000001</v>
      </c>
      <c r="AV117" s="262">
        <v>0.05</v>
      </c>
      <c r="AW117" s="322">
        <f>Таблица_навык_ксенофизиология[[#This Row],[крит. Урон]]+AW116</f>
        <v>0.3</v>
      </c>
      <c r="AX117" s="262">
        <v>0.01</v>
      </c>
      <c r="AY117" s="322">
        <f>Таблица_навык_ксенофизиология[[#This Row],[урон]]+AY116</f>
        <v>6.0000000000000005E-2</v>
      </c>
      <c r="BA117" s="110">
        <v>2</v>
      </c>
      <c r="BB117" s="110">
        <v>2000</v>
      </c>
      <c r="BC117" s="110">
        <f>Таблица_тренинг_Т[[#This Row],[опыт]]+BC116</f>
        <v>3000</v>
      </c>
      <c r="BD117" s="184">
        <v>0.08</v>
      </c>
      <c r="BE117" s="231">
        <f>Таблица_тренинг_Т[[#This Row],[телосложение2]]+BE116</f>
        <v>0.16</v>
      </c>
    </row>
    <row r="118" spans="1:57" x14ac:dyDescent="0.25">
      <c r="A118" s="115">
        <v>16</v>
      </c>
      <c r="B118" s="116">
        <v>162000</v>
      </c>
      <c r="C118" s="146">
        <f>Таблица_навык_снайперские_винтовки[[#This Row],[опыт ]]+C117</f>
        <v>991000</v>
      </c>
      <c r="D118" s="260"/>
      <c r="E118" s="261">
        <f>Таблица_навык_снайперские_винтовки[[#This Row],[Крит. Поп.]]+E117</f>
        <v>0.08</v>
      </c>
      <c r="F118" s="270">
        <v>0.02</v>
      </c>
      <c r="G118" s="271">
        <f>Таблица_навык_снайперские_винтовки[[#This Row],[Крит. Урон СВ]]+G117</f>
        <v>0.08</v>
      </c>
      <c r="H118" s="270"/>
      <c r="I118" s="271">
        <f>Таблица_навык_снайперские_винтовки[[#This Row],[Урон СВ]]+I117</f>
        <v>0.06</v>
      </c>
      <c r="M118" s="3"/>
      <c r="Q118" s="147">
        <v>16</v>
      </c>
      <c r="R118" s="116">
        <v>167000</v>
      </c>
      <c r="S118" s="318">
        <f>Таблица_навык_ТБ[[#This Row],[опыт]]+S117</f>
        <v>1004000</v>
      </c>
      <c r="T118" s="268"/>
      <c r="U118" s="316">
        <f>Таблица_навык_ТБ[[#This Row],[маскировка]]+U117</f>
        <v>10</v>
      </c>
      <c r="V118" s="315">
        <v>3</v>
      </c>
      <c r="W118" s="316">
        <f>Таблица_навык_ТБ[[#This Row],[крит уклонение]]+W117</f>
        <v>18</v>
      </c>
      <c r="AE118" s="115">
        <v>26</v>
      </c>
      <c r="AF118" s="144">
        <v>2507000</v>
      </c>
      <c r="AG118" s="146">
        <f>Таблица_навык_крепкое_здоровье[[#This Row],[опыт]]+AG117</f>
        <v>10583000</v>
      </c>
      <c r="AH118" s="268">
        <v>2</v>
      </c>
      <c r="AI118" s="308">
        <f>Таблица_навык_крепкое_здоровье[[#This Row],[здоровье]]+AI117</f>
        <v>45</v>
      </c>
      <c r="AQ118" s="115">
        <v>7</v>
      </c>
      <c r="AR118" s="116">
        <v>8000</v>
      </c>
      <c r="AS118" s="146">
        <f>Таблица_навык_ксенофизиология[[#This Row],[опыт]]+AS117</f>
        <v>28000</v>
      </c>
      <c r="AT118" s="262">
        <v>0.02</v>
      </c>
      <c r="AU118" s="322">
        <f>Таблица_навык_ксенофизиология[[#This Row],[крит. Попад.]]+AU117</f>
        <v>0.14000000000000001</v>
      </c>
      <c r="AV118" s="262">
        <v>0.05</v>
      </c>
      <c r="AW118" s="322">
        <f>Таблица_навык_ксенофизиология[[#This Row],[крит. Урон]]+AW117</f>
        <v>0.35</v>
      </c>
      <c r="AX118" s="262">
        <v>0.01</v>
      </c>
      <c r="AY118" s="322">
        <f>Таблица_навык_ксенофизиология[[#This Row],[урон]]+AY117</f>
        <v>7.0000000000000007E-2</v>
      </c>
      <c r="BA118" s="110">
        <v>3</v>
      </c>
      <c r="BB118" s="110">
        <v>4000</v>
      </c>
      <c r="BC118" s="110">
        <f>Таблица_тренинг_Т[[#This Row],[опыт]]+BC117</f>
        <v>7000</v>
      </c>
      <c r="BD118" s="184">
        <v>0.08</v>
      </c>
      <c r="BE118" s="231">
        <f>Таблица_тренинг_Т[[#This Row],[телосложение2]]+BE117</f>
        <v>0.24</v>
      </c>
    </row>
    <row r="119" spans="1:57" x14ac:dyDescent="0.25">
      <c r="A119" s="115">
        <v>17</v>
      </c>
      <c r="B119" s="132">
        <v>189000</v>
      </c>
      <c r="C119" s="146">
        <f>Таблица_навык_снайперские_винтовки[[#This Row],[опыт ]]+C118</f>
        <v>1180000</v>
      </c>
      <c r="D119" s="260"/>
      <c r="E119" s="261">
        <f>Таблица_навык_снайперские_винтовки[[#This Row],[Крит. Поп.]]+E118</f>
        <v>0.08</v>
      </c>
      <c r="F119" s="270"/>
      <c r="G119" s="271">
        <f>Таблица_навык_снайперские_винтовки[[#This Row],[Крит. Урон СВ]]+G118</f>
        <v>0.08</v>
      </c>
      <c r="H119" s="270"/>
      <c r="I119" s="271">
        <f>Таблица_навык_снайперские_винтовки[[#This Row],[Урон СВ]]+I118</f>
        <v>0.06</v>
      </c>
      <c r="M119" s="3"/>
      <c r="Q119" s="147">
        <v>17</v>
      </c>
      <c r="R119" s="116">
        <v>196000</v>
      </c>
      <c r="S119" s="318">
        <f>Таблица_навык_ТБ[[#This Row],[опыт]]+S118</f>
        <v>1200000</v>
      </c>
      <c r="T119" s="268">
        <v>1</v>
      </c>
      <c r="U119" s="316">
        <f>Таблица_навык_ТБ[[#This Row],[маскировка]]+U118</f>
        <v>11</v>
      </c>
      <c r="V119" s="315"/>
      <c r="W119" s="316">
        <f>Таблица_навык_ТБ[[#This Row],[крит уклонение]]+W118</f>
        <v>18</v>
      </c>
      <c r="AE119" s="115">
        <v>27</v>
      </c>
      <c r="AF119" s="144">
        <v>3264000</v>
      </c>
      <c r="AG119" s="146">
        <f>Таблица_навык_крепкое_здоровье[[#This Row],[опыт]]+AG118</f>
        <v>13847000</v>
      </c>
      <c r="AH119" s="268">
        <v>2</v>
      </c>
      <c r="AI119" s="308">
        <f>Таблица_навык_крепкое_здоровье[[#This Row],[здоровье]]+AI118</f>
        <v>47</v>
      </c>
      <c r="AQ119" s="115">
        <v>8</v>
      </c>
      <c r="AR119" s="116">
        <v>11000</v>
      </c>
      <c r="AS119" s="146">
        <f>Таблица_навык_ксенофизиология[[#This Row],[опыт]]+AS118</f>
        <v>39000</v>
      </c>
      <c r="AT119" s="262">
        <v>0.02</v>
      </c>
      <c r="AU119" s="322">
        <f>Таблица_навык_ксенофизиология[[#This Row],[крит. Попад.]]+AU118</f>
        <v>0.16</v>
      </c>
      <c r="AV119" s="262">
        <v>0.05</v>
      </c>
      <c r="AW119" s="322">
        <f>Таблица_навык_ксенофизиология[[#This Row],[крит. Урон]]+AW118</f>
        <v>0.39999999999999997</v>
      </c>
      <c r="AX119" s="262">
        <v>0.01</v>
      </c>
      <c r="AY119" s="322">
        <f>Таблица_навык_ксенофизиология[[#This Row],[урон]]+AY118</f>
        <v>0.08</v>
      </c>
      <c r="BA119" s="110">
        <v>4</v>
      </c>
      <c r="BB119" s="110">
        <v>5000</v>
      </c>
      <c r="BC119" s="110">
        <f>Таблица_тренинг_Т[[#This Row],[опыт]]+BC118</f>
        <v>12000</v>
      </c>
      <c r="BD119" s="184">
        <v>0.08</v>
      </c>
      <c r="BE119" s="231">
        <f>Таблица_тренинг_Т[[#This Row],[телосложение2]]+BE118</f>
        <v>0.32</v>
      </c>
    </row>
    <row r="120" spans="1:57" x14ac:dyDescent="0.25">
      <c r="A120" s="115">
        <v>18</v>
      </c>
      <c r="B120" s="116">
        <v>220000</v>
      </c>
      <c r="C120" s="146">
        <f>Таблица_навык_снайперские_винтовки[[#This Row],[опыт ]]+C119</f>
        <v>1400000</v>
      </c>
      <c r="D120" s="260"/>
      <c r="E120" s="261">
        <f>Таблица_навык_снайперские_винтовки[[#This Row],[Крит. Поп.]]+E119</f>
        <v>0.08</v>
      </c>
      <c r="F120" s="270"/>
      <c r="G120" s="271">
        <f>Таблица_навык_снайперские_винтовки[[#This Row],[Крит. Урон СВ]]+G119</f>
        <v>0.08</v>
      </c>
      <c r="H120" s="270">
        <v>0.02</v>
      </c>
      <c r="I120" s="271">
        <f>Таблица_навык_снайперские_винтовки[[#This Row],[Урон СВ]]+I119</f>
        <v>0.08</v>
      </c>
      <c r="M120" s="3"/>
      <c r="Q120" s="147">
        <v>18</v>
      </c>
      <c r="R120" s="116">
        <v>228000</v>
      </c>
      <c r="S120" s="318">
        <f>Таблица_навык_ТБ[[#This Row],[опыт]]+S119</f>
        <v>1428000</v>
      </c>
      <c r="T120" s="268"/>
      <c r="U120" s="316">
        <f>Таблица_навык_ТБ[[#This Row],[маскировка]]+U119</f>
        <v>11</v>
      </c>
      <c r="V120" s="315"/>
      <c r="W120" s="316">
        <f>Таблица_навык_ТБ[[#This Row],[крит уклонение]]+W119</f>
        <v>18</v>
      </c>
      <c r="AE120" s="115">
        <v>28</v>
      </c>
      <c r="AF120" s="144">
        <v>4247000</v>
      </c>
      <c r="AG120" s="146">
        <f>Таблица_навык_крепкое_здоровье[[#This Row],[опыт]]+AG119</f>
        <v>18094000</v>
      </c>
      <c r="AH120" s="268">
        <v>2</v>
      </c>
      <c r="AI120" s="308">
        <f>Таблица_навык_крепкое_здоровье[[#This Row],[здоровье]]+AI119</f>
        <v>49</v>
      </c>
      <c r="AQ120" s="115">
        <v>9</v>
      </c>
      <c r="AR120" s="116">
        <v>15000</v>
      </c>
      <c r="AS120" s="146">
        <f>Таблица_навык_ксенофизиология[[#This Row],[опыт]]+AS119</f>
        <v>54000</v>
      </c>
      <c r="AT120" s="262">
        <v>0.02</v>
      </c>
      <c r="AU120" s="322">
        <f>Таблица_навык_ксенофизиология[[#This Row],[крит. Попад.]]+AU119</f>
        <v>0.18</v>
      </c>
      <c r="AV120" s="262">
        <v>0.05</v>
      </c>
      <c r="AW120" s="322">
        <f>Таблица_навык_ксенофизиология[[#This Row],[крит. Урон]]+AW119</f>
        <v>0.44999999999999996</v>
      </c>
      <c r="AX120" s="262">
        <v>0.01</v>
      </c>
      <c r="AY120" s="322">
        <f>Таблица_навык_ксенофизиология[[#This Row],[урон]]+AY119</f>
        <v>0.09</v>
      </c>
      <c r="BA120" s="110">
        <v>5</v>
      </c>
      <c r="BB120" s="110">
        <v>7000</v>
      </c>
      <c r="BC120" s="110">
        <f>Таблица_тренинг_Т[[#This Row],[опыт]]+BC119</f>
        <v>19000</v>
      </c>
      <c r="BD120" s="184">
        <v>0.08</v>
      </c>
      <c r="BE120" s="231">
        <f>Таблица_тренинг_Т[[#This Row],[телосложение2]]+BE119</f>
        <v>0.4</v>
      </c>
    </row>
    <row r="121" spans="1:57" x14ac:dyDescent="0.25">
      <c r="A121" s="115">
        <v>19</v>
      </c>
      <c r="B121" s="132">
        <v>255000</v>
      </c>
      <c r="C121" s="146">
        <f>Таблица_навык_снайперские_винтовки[[#This Row],[опыт ]]+C120</f>
        <v>1655000</v>
      </c>
      <c r="D121" s="260"/>
      <c r="E121" s="261">
        <f>Таблица_навык_снайперские_винтовки[[#This Row],[Крит. Поп.]]+E120</f>
        <v>0.08</v>
      </c>
      <c r="F121" s="270"/>
      <c r="G121" s="271">
        <f>Таблица_навык_снайперские_винтовки[[#This Row],[Крит. Урон СВ]]+G120</f>
        <v>0.08</v>
      </c>
      <c r="H121" s="270"/>
      <c r="I121" s="271">
        <f>Таблица_навык_снайперские_винтовки[[#This Row],[Урон СВ]]+I120</f>
        <v>0.08</v>
      </c>
      <c r="M121" s="3"/>
      <c r="Q121" s="147">
        <v>19</v>
      </c>
      <c r="R121" s="116">
        <v>266000</v>
      </c>
      <c r="S121" s="318">
        <f>Таблица_навык_ТБ[[#This Row],[опыт]]+S120</f>
        <v>1694000</v>
      </c>
      <c r="T121" s="268"/>
      <c r="U121" s="316">
        <f>Таблица_навык_ТБ[[#This Row],[маскировка]]+U120</f>
        <v>11</v>
      </c>
      <c r="V121" s="315">
        <v>3</v>
      </c>
      <c r="W121" s="316">
        <f>Таблица_навык_ТБ[[#This Row],[крит уклонение]]+W120</f>
        <v>21</v>
      </c>
      <c r="AE121" s="115">
        <v>29</v>
      </c>
      <c r="AF121" s="144">
        <v>5519000</v>
      </c>
      <c r="AG121" s="146">
        <f>Таблица_навык_крепкое_здоровье[[#This Row],[опыт]]+AG120</f>
        <v>23613000</v>
      </c>
      <c r="AH121" s="268">
        <v>2</v>
      </c>
      <c r="AI121" s="308">
        <f>Таблица_навык_крепкое_здоровье[[#This Row],[здоровье]]+AI120</f>
        <v>51</v>
      </c>
      <c r="AQ121" s="115">
        <v>10</v>
      </c>
      <c r="AR121" s="116">
        <v>19000</v>
      </c>
      <c r="AS121" s="146">
        <f>Таблица_навык_ксенофизиология[[#This Row],[опыт]]+AS120</f>
        <v>73000</v>
      </c>
      <c r="AT121" s="262">
        <v>0.02</v>
      </c>
      <c r="AU121" s="322">
        <f>Таблица_навык_ксенофизиология[[#This Row],[крит. Попад.]]+AU120</f>
        <v>0.19999999999999998</v>
      </c>
      <c r="AV121" s="262">
        <v>0.05</v>
      </c>
      <c r="AW121" s="322">
        <f>Таблица_навык_ксенофизиология[[#This Row],[крит. Урон]]+AW120</f>
        <v>0.49999999999999994</v>
      </c>
      <c r="AX121" s="262">
        <v>0.01</v>
      </c>
      <c r="AY121" s="322">
        <f>Таблица_навык_ксенофизиология[[#This Row],[урон]]+AY120</f>
        <v>9.9999999999999992E-2</v>
      </c>
      <c r="BA121" s="110">
        <v>6</v>
      </c>
      <c r="BB121" s="110">
        <v>11000</v>
      </c>
      <c r="BC121" s="110">
        <f>Таблица_тренинг_Т[[#This Row],[опыт]]+BC120</f>
        <v>30000</v>
      </c>
      <c r="BD121" s="184">
        <v>0.08</v>
      </c>
      <c r="BE121" s="231">
        <f>Таблица_тренинг_Т[[#This Row],[телосложение2]]+BE120</f>
        <v>0.48000000000000004</v>
      </c>
    </row>
    <row r="122" spans="1:57" ht="16.5" thickBot="1" x14ac:dyDescent="0.3">
      <c r="A122" s="115">
        <v>20</v>
      </c>
      <c r="B122" s="116">
        <v>295000</v>
      </c>
      <c r="C122" s="146">
        <f>Таблица_навык_снайперские_винтовки[[#This Row],[опыт ]]+C121</f>
        <v>1950000</v>
      </c>
      <c r="D122" s="260">
        <v>0.02</v>
      </c>
      <c r="E122" s="261">
        <f>Таблица_навык_снайперские_винтовки[[#This Row],[Крит. Поп.]]+E121</f>
        <v>0.1</v>
      </c>
      <c r="F122" s="270"/>
      <c r="G122" s="271">
        <f>Таблица_навык_снайперские_винтовки[[#This Row],[Крит. Урон СВ]]+G121</f>
        <v>0.08</v>
      </c>
      <c r="H122" s="270"/>
      <c r="I122" s="271">
        <f>Таблица_навык_снайперские_винтовки[[#This Row],[Урон СВ]]+I121</f>
        <v>0.08</v>
      </c>
      <c r="M122" s="3"/>
      <c r="Q122" s="147">
        <v>20</v>
      </c>
      <c r="R122" s="116">
        <v>310000</v>
      </c>
      <c r="S122" s="318">
        <f>Таблица_навык_ТБ[[#This Row],[опыт]]+S121</f>
        <v>2004000</v>
      </c>
      <c r="T122" s="268">
        <v>1</v>
      </c>
      <c r="U122" s="316">
        <f>Таблица_навык_ТБ[[#This Row],[маскировка]]+U121</f>
        <v>12</v>
      </c>
      <c r="V122" s="315"/>
      <c r="W122" s="316">
        <f>Таблица_навык_ТБ[[#This Row],[крит уклонение]]+W121</f>
        <v>21</v>
      </c>
      <c r="AE122" s="118">
        <v>30</v>
      </c>
      <c r="AF122" s="145">
        <v>7165000</v>
      </c>
      <c r="AG122" s="274">
        <f>Таблица_навык_крепкое_здоровье[[#This Row],[опыт]]+AG121</f>
        <v>30778000</v>
      </c>
      <c r="AH122" s="311">
        <v>2</v>
      </c>
      <c r="AI122" s="310">
        <f>Таблица_навык_крепкое_здоровье[[#This Row],[здоровье]]+AI121</f>
        <v>53</v>
      </c>
      <c r="AQ122" s="115">
        <v>11</v>
      </c>
      <c r="AR122" s="116">
        <v>25000</v>
      </c>
      <c r="AS122" s="146">
        <f>Таблица_навык_ксенофизиология[[#This Row],[опыт]]+AS121</f>
        <v>98000</v>
      </c>
      <c r="AT122" s="262">
        <v>0.02</v>
      </c>
      <c r="AU122" s="322">
        <f>Таблица_навык_ксенофизиология[[#This Row],[крит. Попад.]]+AU121</f>
        <v>0.21999999999999997</v>
      </c>
      <c r="AV122" s="262">
        <v>0.05</v>
      </c>
      <c r="AW122" s="322">
        <f>Таблица_навык_ксенофизиология[[#This Row],[крит. Урон]]+AW121</f>
        <v>0.54999999999999993</v>
      </c>
      <c r="AX122" s="262">
        <v>0.01</v>
      </c>
      <c r="AY122" s="322">
        <f>Таблица_навык_ксенофизиология[[#This Row],[урон]]+AY121</f>
        <v>0.10999999999999999</v>
      </c>
      <c r="BA122" s="110">
        <v>7</v>
      </c>
      <c r="BB122" s="110">
        <v>16000</v>
      </c>
      <c r="BC122" s="110">
        <f>Таблица_тренинг_Т[[#This Row],[опыт]]+BC121</f>
        <v>46000</v>
      </c>
      <c r="BD122" s="184">
        <v>0.08</v>
      </c>
      <c r="BE122" s="231">
        <f>Таблица_тренинг_Т[[#This Row],[телосложение2]]+BE121</f>
        <v>0.56000000000000005</v>
      </c>
    </row>
    <row r="123" spans="1:57" ht="16.5" thickBot="1" x14ac:dyDescent="0.3">
      <c r="A123" s="115">
        <v>21</v>
      </c>
      <c r="B123" s="132">
        <v>343000</v>
      </c>
      <c r="C123" s="146">
        <f>Таблица_навык_снайперские_винтовки[[#This Row],[опыт ]]+C122</f>
        <v>2293000</v>
      </c>
      <c r="D123" s="260"/>
      <c r="E123" s="261">
        <f>Таблица_навык_снайперские_винтовки[[#This Row],[Крит. Поп.]]+E122</f>
        <v>0.1</v>
      </c>
      <c r="F123" s="270"/>
      <c r="G123" s="271">
        <f>Таблица_навык_снайперские_винтовки[[#This Row],[Крит. Урон СВ]]+G122</f>
        <v>0.08</v>
      </c>
      <c r="H123" s="270"/>
      <c r="I123" s="271">
        <f>Таблица_навык_снайперские_винтовки[[#This Row],[Урон СВ]]+I122</f>
        <v>0.08</v>
      </c>
      <c r="M123" s="3"/>
      <c r="Q123" s="147">
        <v>21</v>
      </c>
      <c r="R123" s="116">
        <v>361000</v>
      </c>
      <c r="S123" s="318">
        <f>Таблица_навык_ТБ[[#This Row],[опыт]]+S122</f>
        <v>2365000</v>
      </c>
      <c r="T123" s="268"/>
      <c r="U123" s="316">
        <f>Таблица_навык_ТБ[[#This Row],[маскировка]]+U122</f>
        <v>12</v>
      </c>
      <c r="V123" s="315">
        <v>3</v>
      </c>
      <c r="W123" s="316">
        <f>Таблица_навык_ТБ[[#This Row],[крит уклонение]]+W122</f>
        <v>24</v>
      </c>
      <c r="AQ123" s="115">
        <v>12</v>
      </c>
      <c r="AR123" s="116">
        <v>32000</v>
      </c>
      <c r="AS123" s="146">
        <f>Таблица_навык_ксенофизиология[[#This Row],[опыт]]+AS122</f>
        <v>130000</v>
      </c>
      <c r="AT123" s="262">
        <v>0.02</v>
      </c>
      <c r="AU123" s="322">
        <f>Таблица_навык_ксенофизиология[[#This Row],[крит. Попад.]]+AU122</f>
        <v>0.23999999999999996</v>
      </c>
      <c r="AV123" s="262">
        <v>0.05</v>
      </c>
      <c r="AW123" s="322">
        <f>Таблица_навык_ксенофизиология[[#This Row],[крит. Урон]]+AW122</f>
        <v>0.6</v>
      </c>
      <c r="AX123" s="262">
        <v>0.01</v>
      </c>
      <c r="AY123" s="322">
        <f>Таблица_навык_ксенофизиология[[#This Row],[урон]]+AY122</f>
        <v>0.11999999999999998</v>
      </c>
      <c r="BA123" s="110">
        <v>8</v>
      </c>
      <c r="BB123" s="110">
        <v>23000</v>
      </c>
      <c r="BC123" s="110">
        <f>Таблица_тренинг_Т[[#This Row],[опыт]]+BC122</f>
        <v>69000</v>
      </c>
      <c r="BD123" s="184">
        <v>0.08</v>
      </c>
      <c r="BE123" s="231">
        <f>Таблица_тренинг_Т[[#This Row],[телосложение2]]+BE122</f>
        <v>0.64</v>
      </c>
    </row>
    <row r="124" spans="1:57" x14ac:dyDescent="0.25">
      <c r="A124" s="115">
        <v>22</v>
      </c>
      <c r="B124" s="116">
        <v>396000</v>
      </c>
      <c r="C124" s="146">
        <f>Таблица_навык_снайперские_винтовки[[#This Row],[опыт ]]+C123</f>
        <v>2689000</v>
      </c>
      <c r="D124" s="260"/>
      <c r="E124" s="261">
        <f>Таблица_навык_снайперские_винтовки[[#This Row],[Крит. Поп.]]+E123</f>
        <v>0.1</v>
      </c>
      <c r="F124" s="270">
        <v>0.02</v>
      </c>
      <c r="G124" s="271">
        <f>Таблица_навык_снайперские_винтовки[[#This Row],[Крит. Урон СВ]]+G123</f>
        <v>0.1</v>
      </c>
      <c r="H124" s="270"/>
      <c r="I124" s="271">
        <f>Таблица_навык_снайперские_винтовки[[#This Row],[Урон СВ]]+I123</f>
        <v>0.08</v>
      </c>
      <c r="M124" s="3"/>
      <c r="Q124" s="147">
        <v>22</v>
      </c>
      <c r="R124" s="116">
        <v>418000</v>
      </c>
      <c r="S124" s="318">
        <f>Таблица_навык_ТБ[[#This Row],[опыт]]+S123</f>
        <v>2783000</v>
      </c>
      <c r="T124" s="268"/>
      <c r="U124" s="316">
        <f>Таблица_навык_ТБ[[#This Row],[маскировка]]+U123</f>
        <v>12</v>
      </c>
      <c r="V124" s="315"/>
      <c r="W124" s="316">
        <f>Таблица_навык_ТБ[[#This Row],[крит уклонение]]+W123</f>
        <v>24</v>
      </c>
      <c r="AE124" s="111" t="s">
        <v>134</v>
      </c>
      <c r="AF124" s="112" t="s">
        <v>153</v>
      </c>
      <c r="AG124" s="131" t="s">
        <v>495</v>
      </c>
      <c r="AH124" s="258" t="s">
        <v>135</v>
      </c>
      <c r="AI124" s="269" t="s">
        <v>496</v>
      </c>
      <c r="AJ124" s="258" t="s">
        <v>137</v>
      </c>
      <c r="AK124" s="259" t="s">
        <v>499</v>
      </c>
      <c r="AL124" s="258" t="s">
        <v>136</v>
      </c>
      <c r="AM124" s="259" t="s">
        <v>534</v>
      </c>
      <c r="AQ124" s="115">
        <v>13</v>
      </c>
      <c r="AR124" s="116">
        <v>42000</v>
      </c>
      <c r="AS124" s="146">
        <f>Таблица_навык_ксенофизиология[[#This Row],[опыт]]+AS123</f>
        <v>172000</v>
      </c>
      <c r="AT124" s="262">
        <v>0.02</v>
      </c>
      <c r="AU124" s="322">
        <f>Таблица_навык_ксенофизиология[[#This Row],[крит. Попад.]]+AU123</f>
        <v>0.25999999999999995</v>
      </c>
      <c r="AV124" s="262">
        <v>0.05</v>
      </c>
      <c r="AW124" s="322">
        <f>Таблица_навык_ксенофизиология[[#This Row],[крит. Урон]]+AW123</f>
        <v>0.65</v>
      </c>
      <c r="AX124" s="262">
        <v>0.01</v>
      </c>
      <c r="AY124" s="322">
        <f>Таблица_навык_ксенофизиология[[#This Row],[урон]]+AY123</f>
        <v>0.12999999999999998</v>
      </c>
      <c r="BA124" s="110">
        <v>9</v>
      </c>
      <c r="BB124" s="110">
        <v>33000</v>
      </c>
      <c r="BC124" s="110">
        <f>Таблица_тренинг_Т[[#This Row],[опыт]]+BC123</f>
        <v>102000</v>
      </c>
      <c r="BD124" s="184">
        <v>0.08</v>
      </c>
      <c r="BE124" s="231">
        <f>Таблица_тренинг_Т[[#This Row],[телосложение2]]+BE123</f>
        <v>0.72</v>
      </c>
    </row>
    <row r="125" spans="1:57" x14ac:dyDescent="0.25">
      <c r="A125" s="115">
        <v>23</v>
      </c>
      <c r="B125" s="132">
        <v>457000</v>
      </c>
      <c r="C125" s="146">
        <f>Таблица_навык_снайперские_винтовки[[#This Row],[опыт ]]+C124</f>
        <v>3146000</v>
      </c>
      <c r="D125" s="260"/>
      <c r="E125" s="261">
        <f>Таблица_навык_снайперские_винтовки[[#This Row],[Крит. Поп.]]+E124</f>
        <v>0.1</v>
      </c>
      <c r="F125" s="270"/>
      <c r="G125" s="271">
        <f>Таблица_навык_снайперские_винтовки[[#This Row],[Крит. Урон СВ]]+G124</f>
        <v>0.1</v>
      </c>
      <c r="H125" s="270"/>
      <c r="I125" s="271">
        <f>Таблица_навык_снайперские_винтовки[[#This Row],[Урон СВ]]+I124</f>
        <v>0.08</v>
      </c>
      <c r="M125" s="3"/>
      <c r="Q125" s="147">
        <v>23</v>
      </c>
      <c r="R125" s="116">
        <v>485000</v>
      </c>
      <c r="S125" s="318">
        <f>Таблица_навык_ТБ[[#This Row],[опыт]]+S124</f>
        <v>3268000</v>
      </c>
      <c r="T125" s="268">
        <v>1</v>
      </c>
      <c r="U125" s="316">
        <f>Таблица_навык_ТБ[[#This Row],[маскировка]]+U124</f>
        <v>13</v>
      </c>
      <c r="V125" s="315"/>
      <c r="W125" s="316">
        <f>Таблица_навык_ТБ[[#This Row],[крит уклонение]]+W124</f>
        <v>24</v>
      </c>
      <c r="AE125" s="115">
        <v>0</v>
      </c>
      <c r="AF125" s="116">
        <v>0</v>
      </c>
      <c r="AG125" s="146">
        <v>0</v>
      </c>
      <c r="AH125" s="268"/>
      <c r="AI125" s="308">
        <v>0</v>
      </c>
      <c r="AJ125" s="268"/>
      <c r="AK125" s="308">
        <v>0</v>
      </c>
      <c r="AL125" s="260"/>
      <c r="AM125" s="261">
        <v>0</v>
      </c>
      <c r="AN125" s="3"/>
      <c r="AO125" s="3"/>
      <c r="AQ125" s="115">
        <v>14</v>
      </c>
      <c r="AR125" s="116">
        <v>55000</v>
      </c>
      <c r="AS125" s="146">
        <f>Таблица_навык_ксенофизиология[[#This Row],[опыт]]+AS124</f>
        <v>227000</v>
      </c>
      <c r="AT125" s="262">
        <v>0.02</v>
      </c>
      <c r="AU125" s="322">
        <f>Таблица_навык_ксенофизиология[[#This Row],[крит. Попад.]]+AU124</f>
        <v>0.27999999999999997</v>
      </c>
      <c r="AV125" s="262">
        <v>0.05</v>
      </c>
      <c r="AW125" s="322">
        <f>Таблица_навык_ксенофизиология[[#This Row],[крит. Урон]]+AW124</f>
        <v>0.70000000000000007</v>
      </c>
      <c r="AX125" s="262">
        <v>0.01</v>
      </c>
      <c r="AY125" s="322">
        <f>Таблица_навык_ксенофизиология[[#This Row],[урон]]+AY124</f>
        <v>0.13999999999999999</v>
      </c>
      <c r="BA125" s="110">
        <v>10</v>
      </c>
      <c r="BB125" s="110">
        <v>47000</v>
      </c>
      <c r="BC125" s="110">
        <f>Таблица_тренинг_Т[[#This Row],[опыт]]+BC124</f>
        <v>149000</v>
      </c>
      <c r="BD125" s="184">
        <v>0.08</v>
      </c>
      <c r="BE125" s="231">
        <f>Таблица_тренинг_Т[[#This Row],[телосложение2]]+BE124</f>
        <v>0.79999999999999993</v>
      </c>
    </row>
    <row r="126" spans="1:57" x14ac:dyDescent="0.25">
      <c r="A126" s="115">
        <v>24</v>
      </c>
      <c r="B126" s="116">
        <v>528000</v>
      </c>
      <c r="C126" s="146">
        <f>Таблица_навык_снайперские_винтовки[[#This Row],[опыт ]]+C125</f>
        <v>3674000</v>
      </c>
      <c r="D126" s="260"/>
      <c r="E126" s="261">
        <f>Таблица_навык_снайперские_винтовки[[#This Row],[Крит. Поп.]]+E125</f>
        <v>0.1</v>
      </c>
      <c r="F126" s="270"/>
      <c r="G126" s="271">
        <f>Таблица_навык_снайперские_винтовки[[#This Row],[Крит. Урон СВ]]+G125</f>
        <v>0.1</v>
      </c>
      <c r="H126" s="270">
        <v>0.02</v>
      </c>
      <c r="I126" s="271">
        <f>Таблица_навык_снайперские_винтовки[[#This Row],[Урон СВ]]+I125</f>
        <v>0.1</v>
      </c>
      <c r="M126" s="3"/>
      <c r="Q126" s="147">
        <v>24</v>
      </c>
      <c r="R126" s="116">
        <v>562000</v>
      </c>
      <c r="S126" s="318">
        <f>Таблица_навык_ТБ[[#This Row],[опыт]]+S125</f>
        <v>3830000</v>
      </c>
      <c r="T126" s="268"/>
      <c r="U126" s="316">
        <f>Таблица_навык_ТБ[[#This Row],[маскировка]]+U125</f>
        <v>13</v>
      </c>
      <c r="V126" s="315">
        <v>2</v>
      </c>
      <c r="W126" s="316">
        <f>Таблица_навык_ТБ[[#This Row],[крит уклонение]]+W125</f>
        <v>26</v>
      </c>
      <c r="AE126" s="115">
        <v>1</v>
      </c>
      <c r="AF126" s="116">
        <v>1000</v>
      </c>
      <c r="AG126" s="146">
        <f>Таблица_навык_метаболизм[[#This Row],[опыт]]+AG125</f>
        <v>1000</v>
      </c>
      <c r="AH126" s="315">
        <v>1</v>
      </c>
      <c r="AI126" s="308">
        <f>Таблица_навык_метаболизм[[#This Row],[регенерация]]+AI125</f>
        <v>1</v>
      </c>
      <c r="AJ126" s="268"/>
      <c r="AK126" s="308">
        <f>Таблица_навык_метаболизм[[#This Row],[лечение]]+AK125</f>
        <v>0</v>
      </c>
      <c r="AL126" s="260"/>
      <c r="AM126" s="261">
        <f>Таблица_навык_метаболизм[[#This Row],[восст.эффект.]]+AM125</f>
        <v>0</v>
      </c>
      <c r="AN126" s="3"/>
      <c r="AO126" s="3"/>
      <c r="AQ126" s="115">
        <v>15</v>
      </c>
      <c r="AR126" s="116">
        <v>69000</v>
      </c>
      <c r="AS126" s="146">
        <f>Таблица_навык_ксенофизиология[[#This Row],[опыт]]+AS125</f>
        <v>296000</v>
      </c>
      <c r="AT126" s="262">
        <v>0.02</v>
      </c>
      <c r="AU126" s="322">
        <f>Таблица_навык_ксенофизиология[[#This Row],[крит. Попад.]]+AU125</f>
        <v>0.3</v>
      </c>
      <c r="AV126" s="262">
        <v>0.05</v>
      </c>
      <c r="AW126" s="322">
        <f>Таблица_навык_ксенофизиология[[#This Row],[крит. Урон]]+AW125</f>
        <v>0.75000000000000011</v>
      </c>
      <c r="AX126" s="262">
        <v>0.01</v>
      </c>
      <c r="AY126" s="322">
        <f>Таблица_навык_ксенофизиология[[#This Row],[урон]]+AY125</f>
        <v>0.15</v>
      </c>
      <c r="BA126" s="110">
        <v>11</v>
      </c>
      <c r="BB126" s="110">
        <v>65000</v>
      </c>
      <c r="BC126" s="110">
        <f>Таблица_тренинг_Т[[#This Row],[опыт]]+BC125</f>
        <v>214000</v>
      </c>
      <c r="BD126" s="184">
        <v>0.08</v>
      </c>
      <c r="BE126" s="231">
        <f>Таблица_тренинг_Т[[#This Row],[телосложение2]]+BE125</f>
        <v>0.87999999999999989</v>
      </c>
    </row>
    <row r="127" spans="1:57" x14ac:dyDescent="0.25">
      <c r="A127" s="115">
        <v>25</v>
      </c>
      <c r="B127" s="132">
        <v>610000</v>
      </c>
      <c r="C127" s="146">
        <f>Таблица_навык_снайперские_винтовки[[#This Row],[опыт ]]+C126</f>
        <v>4284000</v>
      </c>
      <c r="D127" s="260"/>
      <c r="E127" s="261">
        <f>Таблица_навык_снайперские_винтовки[[#This Row],[Крит. Поп.]]+E126</f>
        <v>0.1</v>
      </c>
      <c r="F127" s="270"/>
      <c r="G127" s="271">
        <f>Таблица_навык_снайперские_винтовки[[#This Row],[Крит. Урон СВ]]+G126</f>
        <v>0.1</v>
      </c>
      <c r="H127" s="270"/>
      <c r="I127" s="271">
        <f>Таблица_навык_снайперские_винтовки[[#This Row],[Урон СВ]]+I126</f>
        <v>0.1</v>
      </c>
      <c r="M127" s="3"/>
      <c r="Q127" s="147">
        <v>25</v>
      </c>
      <c r="R127" s="116">
        <v>651000</v>
      </c>
      <c r="S127" s="318">
        <f>Таблица_навык_ТБ[[#This Row],[опыт]]+S126</f>
        <v>4481000</v>
      </c>
      <c r="T127" s="268">
        <v>1</v>
      </c>
      <c r="U127" s="316">
        <f>Таблица_навык_ТБ[[#This Row],[маскировка]]+U126</f>
        <v>14</v>
      </c>
      <c r="V127" s="315"/>
      <c r="W127" s="316">
        <f>Таблица_навык_ТБ[[#This Row],[крит уклонение]]+W126</f>
        <v>26</v>
      </c>
      <c r="AE127" s="115">
        <v>2</v>
      </c>
      <c r="AF127" s="116">
        <v>2000</v>
      </c>
      <c r="AG127" s="146">
        <f>Таблица_навык_метаболизм[[#This Row],[опыт]]+AG126</f>
        <v>3000</v>
      </c>
      <c r="AH127" s="268"/>
      <c r="AI127" s="308">
        <f>Таблица_навык_метаболизм[[#This Row],[регенерация]]+AI126</f>
        <v>1</v>
      </c>
      <c r="AJ127" s="268">
        <v>1</v>
      </c>
      <c r="AK127" s="308">
        <f>Таблица_навык_метаболизм[[#This Row],[лечение]]+AK126</f>
        <v>1</v>
      </c>
      <c r="AL127" s="260"/>
      <c r="AM127" s="261">
        <f>Таблица_навык_метаболизм[[#This Row],[восст.эффект.]]+AM126</f>
        <v>0</v>
      </c>
      <c r="AN127" s="3"/>
      <c r="AO127" s="3"/>
      <c r="AQ127" s="115">
        <v>16</v>
      </c>
      <c r="AR127" s="116">
        <v>89000</v>
      </c>
      <c r="AS127" s="146">
        <f>Таблица_навык_ксенофизиология[[#This Row],[опыт]]+AS126</f>
        <v>385000</v>
      </c>
      <c r="AT127" s="262">
        <v>0.02</v>
      </c>
      <c r="AU127" s="322">
        <f>Таблица_навык_ксенофизиология[[#This Row],[крит. Попад.]]+AU126</f>
        <v>0.32</v>
      </c>
      <c r="AV127" s="262">
        <v>0.05</v>
      </c>
      <c r="AW127" s="322">
        <f>Таблица_навык_ксенофизиология[[#This Row],[крит. Урон]]+AW126</f>
        <v>0.80000000000000016</v>
      </c>
      <c r="AX127" s="262">
        <v>0.01</v>
      </c>
      <c r="AY127" s="322">
        <f>Таблица_навык_ксенофизиология[[#This Row],[урон]]+AY126</f>
        <v>0.16</v>
      </c>
      <c r="BA127" s="110">
        <v>12</v>
      </c>
      <c r="BB127" s="110">
        <v>93000</v>
      </c>
      <c r="BC127" s="110">
        <f>Таблица_тренинг_Т[[#This Row],[опыт]]+BC126</f>
        <v>307000</v>
      </c>
      <c r="BD127" s="184">
        <v>0.08</v>
      </c>
      <c r="BE127" s="231">
        <f>Таблица_тренинг_Т[[#This Row],[телосложение2]]+BE126</f>
        <v>0.95999999999999985</v>
      </c>
    </row>
    <row r="128" spans="1:57" x14ac:dyDescent="0.25">
      <c r="A128" s="115">
        <v>26</v>
      </c>
      <c r="B128" s="116">
        <v>701000</v>
      </c>
      <c r="C128" s="146">
        <f>Таблица_навык_снайперские_винтовки[[#This Row],[опыт ]]+C127</f>
        <v>4985000</v>
      </c>
      <c r="D128" s="260">
        <v>0.02</v>
      </c>
      <c r="E128" s="261">
        <f>Таблица_навык_снайперские_винтовки[[#This Row],[Крит. Поп.]]+E127</f>
        <v>0.12000000000000001</v>
      </c>
      <c r="F128" s="270"/>
      <c r="G128" s="271">
        <f>Таблица_навык_снайперские_винтовки[[#This Row],[Крит. Урон СВ]]+G127</f>
        <v>0.1</v>
      </c>
      <c r="H128" s="270"/>
      <c r="I128" s="271">
        <f>Таблица_навык_снайперские_винтовки[[#This Row],[Урон СВ]]+I127</f>
        <v>0.1</v>
      </c>
      <c r="M128" s="3"/>
      <c r="Q128" s="147">
        <v>26</v>
      </c>
      <c r="R128" s="116">
        <v>753000</v>
      </c>
      <c r="S128" s="318">
        <f>Таблица_навык_ТБ[[#This Row],[опыт]]+S127</f>
        <v>5234000</v>
      </c>
      <c r="T128" s="268"/>
      <c r="U128" s="316">
        <f>Таблица_навык_ТБ[[#This Row],[маскировка]]+U127</f>
        <v>14</v>
      </c>
      <c r="V128" s="315">
        <v>2</v>
      </c>
      <c r="W128" s="316">
        <f>Таблица_навык_ТБ[[#This Row],[крит уклонение]]+W127</f>
        <v>28</v>
      </c>
      <c r="AE128" s="115">
        <v>3</v>
      </c>
      <c r="AF128" s="116">
        <v>3000</v>
      </c>
      <c r="AG128" s="146">
        <f>Таблица_навык_метаболизм[[#This Row],[опыт]]+AG127</f>
        <v>6000</v>
      </c>
      <c r="AH128" s="315"/>
      <c r="AI128" s="308">
        <f>Таблица_навык_метаболизм[[#This Row],[регенерация]]+AI127</f>
        <v>1</v>
      </c>
      <c r="AJ128" s="268"/>
      <c r="AK128" s="308">
        <f>Таблица_навык_метаболизм[[#This Row],[лечение]]+AK127</f>
        <v>1</v>
      </c>
      <c r="AL128" s="260">
        <v>0.02</v>
      </c>
      <c r="AM128" s="261">
        <f>Таблица_навык_метаболизм[[#This Row],[восст.эффект.]]+AM127</f>
        <v>0.02</v>
      </c>
      <c r="AN128" s="3"/>
      <c r="AO128" s="3"/>
      <c r="AQ128" s="115">
        <v>17</v>
      </c>
      <c r="AR128" s="116">
        <v>115000</v>
      </c>
      <c r="AS128" s="146">
        <f>Таблица_навык_ксенофизиология[[#This Row],[опыт]]+AS127</f>
        <v>500000</v>
      </c>
      <c r="AT128" s="262">
        <v>0.02</v>
      </c>
      <c r="AU128" s="322">
        <f>Таблица_навык_ксенофизиология[[#This Row],[крит. Попад.]]+AU127</f>
        <v>0.34</v>
      </c>
      <c r="AV128" s="262">
        <v>0.05</v>
      </c>
      <c r="AW128" s="322">
        <f>Таблица_навык_ксенофизиология[[#This Row],[крит. Урон]]+AW127</f>
        <v>0.8500000000000002</v>
      </c>
      <c r="AX128" s="262">
        <v>0.01</v>
      </c>
      <c r="AY128" s="322">
        <f>Таблица_навык_ксенофизиология[[#This Row],[урон]]+AY127</f>
        <v>0.17</v>
      </c>
      <c r="BA128" s="110">
        <v>13</v>
      </c>
      <c r="BB128" s="110">
        <v>128000</v>
      </c>
      <c r="BC128" s="110">
        <f>Таблица_тренинг_Т[[#This Row],[опыт]]+BC127</f>
        <v>435000</v>
      </c>
      <c r="BD128" s="184">
        <v>0.08</v>
      </c>
      <c r="BE128" s="231">
        <f>Таблица_тренинг_Т[[#This Row],[телосложение2]]+BE127</f>
        <v>1.0399999999999998</v>
      </c>
    </row>
    <row r="129" spans="1:57" x14ac:dyDescent="0.25">
      <c r="A129" s="115">
        <v>27</v>
      </c>
      <c r="B129" s="132">
        <v>808000</v>
      </c>
      <c r="C129" s="146">
        <f>Таблица_навык_снайперские_винтовки[[#This Row],[опыт ]]+C128</f>
        <v>5793000</v>
      </c>
      <c r="D129" s="260"/>
      <c r="E129" s="261">
        <f>Таблица_навык_снайперские_винтовки[[#This Row],[Крит. Поп.]]+E128</f>
        <v>0.12000000000000001</v>
      </c>
      <c r="F129" s="270">
        <v>0.02</v>
      </c>
      <c r="G129" s="271">
        <f>Таблица_навык_снайперские_винтовки[[#This Row],[Крит. Урон СВ]]+G128</f>
        <v>0.12000000000000001</v>
      </c>
      <c r="H129" s="270"/>
      <c r="I129" s="271">
        <f>Таблица_навык_снайперские_винтовки[[#This Row],[Урон СВ]]+I128</f>
        <v>0.1</v>
      </c>
      <c r="M129" s="3"/>
      <c r="Q129" s="147">
        <v>27</v>
      </c>
      <c r="R129" s="116">
        <v>870000</v>
      </c>
      <c r="S129" s="318">
        <f>Таблица_навык_ТБ[[#This Row],[опыт]]+S128</f>
        <v>6104000</v>
      </c>
      <c r="T129" s="268"/>
      <c r="U129" s="316">
        <f>Таблица_навык_ТБ[[#This Row],[маскировка]]+U128</f>
        <v>14</v>
      </c>
      <c r="V129" s="315"/>
      <c r="W129" s="316">
        <f>Таблица_навык_ТБ[[#This Row],[крит уклонение]]+W128</f>
        <v>28</v>
      </c>
      <c r="AE129" s="115">
        <v>4</v>
      </c>
      <c r="AF129" s="116">
        <v>3000</v>
      </c>
      <c r="AG129" s="146">
        <f>Таблица_навык_метаболизм[[#This Row],[опыт]]+AG128</f>
        <v>9000</v>
      </c>
      <c r="AH129" s="268">
        <v>1</v>
      </c>
      <c r="AI129" s="308">
        <f>Таблица_навык_метаболизм[[#This Row],[регенерация]]+AI128</f>
        <v>2</v>
      </c>
      <c r="AJ129" s="268"/>
      <c r="AK129" s="308">
        <f>Таблица_навык_метаболизм[[#This Row],[лечение]]+AK128</f>
        <v>1</v>
      </c>
      <c r="AL129" s="260"/>
      <c r="AM129" s="261">
        <f>Таблица_навык_метаболизм[[#This Row],[восст.эффект.]]+AM128</f>
        <v>0.02</v>
      </c>
      <c r="AN129" s="3"/>
      <c r="AO129" s="3"/>
      <c r="AQ129" s="115">
        <v>18</v>
      </c>
      <c r="AR129" s="116">
        <v>145000</v>
      </c>
      <c r="AS129" s="146">
        <f>Таблица_навык_ксенофизиология[[#This Row],[опыт]]+AS128</f>
        <v>645000</v>
      </c>
      <c r="AT129" s="262">
        <v>0.02</v>
      </c>
      <c r="AU129" s="322">
        <f>Таблица_навык_ксенофизиология[[#This Row],[крит. Попад.]]+AU128</f>
        <v>0.36000000000000004</v>
      </c>
      <c r="AV129" s="262">
        <v>0.05</v>
      </c>
      <c r="AW129" s="322">
        <f>Таблица_навык_ксенофизиология[[#This Row],[крит. Урон]]+AW128</f>
        <v>0.90000000000000024</v>
      </c>
      <c r="AX129" s="262">
        <v>0.01</v>
      </c>
      <c r="AY129" s="322">
        <f>Таблица_навык_ксенофизиология[[#This Row],[урон]]+AY128</f>
        <v>0.18000000000000002</v>
      </c>
      <c r="BA129" s="110">
        <v>14</v>
      </c>
      <c r="BB129" s="110">
        <v>179000</v>
      </c>
      <c r="BC129" s="110">
        <f>Таблица_тренинг_Т[[#This Row],[опыт]]+BC128</f>
        <v>614000</v>
      </c>
      <c r="BD129" s="184">
        <v>0.08</v>
      </c>
      <c r="BE129" s="231">
        <f>Таблица_тренинг_Т[[#This Row],[телосложение2]]+BE128</f>
        <v>1.1199999999999999</v>
      </c>
    </row>
    <row r="130" spans="1:57" x14ac:dyDescent="0.25">
      <c r="A130" s="115">
        <v>28</v>
      </c>
      <c r="B130" s="116">
        <v>929000</v>
      </c>
      <c r="C130" s="146">
        <f>Таблица_навык_снайперские_винтовки[[#This Row],[опыт ]]+C129</f>
        <v>6722000</v>
      </c>
      <c r="D130" s="260"/>
      <c r="E130" s="261">
        <f>Таблица_навык_снайперские_винтовки[[#This Row],[Крит. Поп.]]+E129</f>
        <v>0.12000000000000001</v>
      </c>
      <c r="F130" s="270"/>
      <c r="G130" s="271">
        <f>Таблица_навык_снайперские_винтовки[[#This Row],[Крит. Урон СВ]]+G129</f>
        <v>0.12000000000000001</v>
      </c>
      <c r="H130" s="270">
        <v>0.02</v>
      </c>
      <c r="I130" s="271">
        <f>Таблица_навык_снайперские_винтовки[[#This Row],[Урон СВ]]+I129</f>
        <v>0.12000000000000001</v>
      </c>
      <c r="M130" s="3"/>
      <c r="Q130" s="147">
        <v>28</v>
      </c>
      <c r="R130" s="116">
        <v>1004000</v>
      </c>
      <c r="S130" s="318">
        <f>Таблица_навык_ТБ[[#This Row],[опыт]]+S129</f>
        <v>7108000</v>
      </c>
      <c r="T130" s="268">
        <v>1</v>
      </c>
      <c r="U130" s="316">
        <f>Таблица_навык_ТБ[[#This Row],[маскировка]]+U129</f>
        <v>15</v>
      </c>
      <c r="V130" s="315"/>
      <c r="W130" s="316">
        <f>Таблица_навык_ТБ[[#This Row],[крит уклонение]]+W129</f>
        <v>28</v>
      </c>
      <c r="AE130" s="115">
        <v>5</v>
      </c>
      <c r="AF130" s="116">
        <v>5000</v>
      </c>
      <c r="AG130" s="146">
        <f>Таблица_навык_метаболизм[[#This Row],[опыт]]+AG129</f>
        <v>14000</v>
      </c>
      <c r="AH130" s="315"/>
      <c r="AI130" s="308">
        <f>Таблица_навык_метаболизм[[#This Row],[регенерация]]+AI129</f>
        <v>2</v>
      </c>
      <c r="AJ130" s="268">
        <v>1</v>
      </c>
      <c r="AK130" s="308">
        <f>Таблица_навык_метаболизм[[#This Row],[лечение]]+AK129</f>
        <v>2</v>
      </c>
      <c r="AL130" s="260"/>
      <c r="AM130" s="261">
        <f>Таблица_навык_метаболизм[[#This Row],[восст.эффект.]]+AM129</f>
        <v>0.02</v>
      </c>
      <c r="AN130" s="3"/>
      <c r="AO130" s="3"/>
      <c r="AQ130" s="115">
        <v>19</v>
      </c>
      <c r="AR130" s="116">
        <v>186000</v>
      </c>
      <c r="AS130" s="146">
        <f>Таблица_навык_ксенофизиология[[#This Row],[опыт]]+AS129</f>
        <v>831000</v>
      </c>
      <c r="AT130" s="262">
        <v>0.02</v>
      </c>
      <c r="AU130" s="322">
        <f>Таблица_навык_ксенофизиология[[#This Row],[крит. Попад.]]+AU129</f>
        <v>0.38000000000000006</v>
      </c>
      <c r="AV130" s="262">
        <v>0.05</v>
      </c>
      <c r="AW130" s="322">
        <f>Таблица_навык_ксенофизиология[[#This Row],[крит. Урон]]+AW129</f>
        <v>0.95000000000000029</v>
      </c>
      <c r="AX130" s="262">
        <v>0.01</v>
      </c>
      <c r="AY130" s="322">
        <f>Таблица_навык_ксенофизиология[[#This Row],[урон]]+AY129</f>
        <v>0.19000000000000003</v>
      </c>
      <c r="BA130" s="110">
        <v>15</v>
      </c>
      <c r="BB130" s="110">
        <v>250000</v>
      </c>
      <c r="BC130" s="110">
        <f>Таблица_тренинг_Т[[#This Row],[опыт]]+BC129</f>
        <v>864000</v>
      </c>
      <c r="BD130" s="184">
        <v>0.08</v>
      </c>
      <c r="BE130" s="231">
        <f>Таблица_тренинг_Т[[#This Row],[телосложение2]]+BE129</f>
        <v>1.2</v>
      </c>
    </row>
    <row r="131" spans="1:57" x14ac:dyDescent="0.25">
      <c r="A131" s="115">
        <v>29</v>
      </c>
      <c r="B131" s="132">
        <v>1069000</v>
      </c>
      <c r="C131" s="146">
        <f>Таблица_навык_снайперские_винтовки[[#This Row],[опыт ]]+C130</f>
        <v>7791000</v>
      </c>
      <c r="D131" s="260"/>
      <c r="E131" s="261">
        <f>Таблица_навык_снайперские_винтовки[[#This Row],[Крит. Поп.]]+E130</f>
        <v>0.12000000000000001</v>
      </c>
      <c r="F131" s="270"/>
      <c r="G131" s="271">
        <f>Таблица_навык_снайперские_винтовки[[#This Row],[Крит. Урон СВ]]+G130</f>
        <v>0.12000000000000001</v>
      </c>
      <c r="H131" s="270"/>
      <c r="I131" s="271">
        <f>Таблица_навык_снайперские_винтовки[[#This Row],[Урон СВ]]+I130</f>
        <v>0.12000000000000001</v>
      </c>
      <c r="M131" s="3"/>
      <c r="Q131" s="147">
        <v>29</v>
      </c>
      <c r="R131" s="116">
        <v>1159000</v>
      </c>
      <c r="S131" s="318">
        <f>Таблица_навык_ТБ[[#This Row],[опыт]]+S130</f>
        <v>8267000</v>
      </c>
      <c r="T131" s="268"/>
      <c r="U131" s="316">
        <f>Таблица_навык_ТБ[[#This Row],[маскировка]]+U130</f>
        <v>15</v>
      </c>
      <c r="V131" s="315">
        <v>2</v>
      </c>
      <c r="W131" s="316">
        <f>Таблица_навык_ТБ[[#This Row],[крит уклонение]]+W130</f>
        <v>30</v>
      </c>
      <c r="AE131" s="115">
        <v>6</v>
      </c>
      <c r="AF131" s="116">
        <v>7000</v>
      </c>
      <c r="AG131" s="146">
        <f>Таблица_навык_метаболизм[[#This Row],[опыт]]+AG130</f>
        <v>21000</v>
      </c>
      <c r="AH131" s="268"/>
      <c r="AI131" s="308">
        <f>Таблица_навык_метаболизм[[#This Row],[регенерация]]+AI130</f>
        <v>2</v>
      </c>
      <c r="AJ131" s="268"/>
      <c r="AK131" s="308">
        <f>Таблица_навык_метаболизм[[#This Row],[лечение]]+AK130</f>
        <v>2</v>
      </c>
      <c r="AL131" s="260">
        <v>0.02</v>
      </c>
      <c r="AM131" s="261">
        <f>Таблица_навык_метаболизм[[#This Row],[восст.эффект.]]+AM130</f>
        <v>0.04</v>
      </c>
      <c r="AN131" s="3"/>
      <c r="AO131" s="3"/>
      <c r="AQ131" s="115">
        <v>20</v>
      </c>
      <c r="AR131" s="116">
        <v>236000</v>
      </c>
      <c r="AS131" s="146">
        <f>Таблица_навык_ксенофизиология[[#This Row],[опыт]]+AS130</f>
        <v>1067000</v>
      </c>
      <c r="AT131" s="262">
        <v>0.02</v>
      </c>
      <c r="AU131" s="322">
        <f>Таблица_навык_ксенофизиология[[#This Row],[крит. Попад.]]+AU130</f>
        <v>0.40000000000000008</v>
      </c>
      <c r="AV131" s="262">
        <v>0.05</v>
      </c>
      <c r="AW131" s="322">
        <f>Таблица_навык_ксенофизиология[[#This Row],[крит. Урон]]+AW130</f>
        <v>1.0000000000000002</v>
      </c>
      <c r="AX131" s="262">
        <v>0.01</v>
      </c>
      <c r="AY131" s="322">
        <f>Таблица_навык_ксенофизиология[[#This Row],[урон]]+AY130</f>
        <v>0.20000000000000004</v>
      </c>
      <c r="BA131" s="110">
        <v>16</v>
      </c>
      <c r="BB131" s="110">
        <v>340000</v>
      </c>
      <c r="BC131" s="110">
        <f>Таблица_тренинг_Т[[#This Row],[опыт]]+BC130</f>
        <v>1204000</v>
      </c>
      <c r="BD131" s="184">
        <v>0.08</v>
      </c>
      <c r="BE131" s="231">
        <f>Таблица_тренинг_Т[[#This Row],[телосложение2]]+BE130</f>
        <v>1.28</v>
      </c>
    </row>
    <row r="132" spans="1:57" x14ac:dyDescent="0.25">
      <c r="A132" s="115">
        <v>30</v>
      </c>
      <c r="B132" s="116">
        <v>1226000</v>
      </c>
      <c r="C132" s="146">
        <f>Таблица_навык_снайперские_винтовки[[#This Row],[опыт ]]+C131</f>
        <v>9017000</v>
      </c>
      <c r="D132" s="260">
        <v>0.02</v>
      </c>
      <c r="E132" s="261">
        <f>Таблица_навык_снайперские_винтовки[[#This Row],[Крит. Поп.]]+E131</f>
        <v>0.14000000000000001</v>
      </c>
      <c r="F132" s="270"/>
      <c r="G132" s="271">
        <f>Таблица_навык_снайперские_винтовки[[#This Row],[Крит. Урон СВ]]+G131</f>
        <v>0.12000000000000001</v>
      </c>
      <c r="H132" s="270"/>
      <c r="I132" s="271">
        <f>Таблица_навык_снайперские_винтовки[[#This Row],[Урон СВ]]+I131</f>
        <v>0.12000000000000001</v>
      </c>
      <c r="M132" s="3"/>
      <c r="Q132" s="147">
        <v>30</v>
      </c>
      <c r="R132" s="116">
        <v>1336000</v>
      </c>
      <c r="S132" s="318">
        <f>Таблица_навык_ТБ[[#This Row],[опыт]]+S131</f>
        <v>9603000</v>
      </c>
      <c r="T132" s="268">
        <v>1</v>
      </c>
      <c r="U132" s="316">
        <f>Таблица_навык_ТБ[[#This Row],[маскировка]]+U131</f>
        <v>16</v>
      </c>
      <c r="V132" s="315"/>
      <c r="W132" s="316">
        <f>Таблица_навык_ТБ[[#This Row],[крит уклонение]]+W131</f>
        <v>30</v>
      </c>
      <c r="AE132" s="115">
        <v>7</v>
      </c>
      <c r="AF132" s="116">
        <v>9000</v>
      </c>
      <c r="AG132" s="146">
        <f>Таблица_навык_метаболизм[[#This Row],[опыт]]+AG131</f>
        <v>30000</v>
      </c>
      <c r="AH132" s="315">
        <v>1</v>
      </c>
      <c r="AI132" s="308">
        <f>Таблица_навык_метаболизм[[#This Row],[регенерация]]+AI131</f>
        <v>3</v>
      </c>
      <c r="AJ132" s="268"/>
      <c r="AK132" s="308">
        <f>Таблица_навык_метаболизм[[#This Row],[лечение]]+AK131</f>
        <v>2</v>
      </c>
      <c r="AL132" s="260"/>
      <c r="AM132" s="261">
        <f>Таблица_навык_метаболизм[[#This Row],[восст.эффект.]]+AM131</f>
        <v>0.04</v>
      </c>
      <c r="AN132" s="3"/>
      <c r="AO132" s="3"/>
      <c r="AQ132" s="115">
        <v>21</v>
      </c>
      <c r="AR132" s="116">
        <v>300000</v>
      </c>
      <c r="AS132" s="146">
        <f>Таблица_навык_ксенофизиология[[#This Row],[опыт]]+AS131</f>
        <v>1367000</v>
      </c>
      <c r="AT132" s="262">
        <v>0.03</v>
      </c>
      <c r="AU132" s="322">
        <f>Таблица_навык_ксенофизиология[[#This Row],[крит. Попад.]]+AU131</f>
        <v>0.43000000000000005</v>
      </c>
      <c r="AV132" s="262">
        <v>0.05</v>
      </c>
      <c r="AW132" s="322">
        <f>Таблица_навык_ксенофизиология[[#This Row],[крит. Урон]]+AW131</f>
        <v>1.0500000000000003</v>
      </c>
      <c r="AX132" s="262">
        <v>0.01</v>
      </c>
      <c r="AY132" s="322">
        <f>Таблица_навык_ксенофизиология[[#This Row],[урон]]+AY131</f>
        <v>0.21000000000000005</v>
      </c>
      <c r="BA132" s="110">
        <v>17</v>
      </c>
      <c r="BB132" s="110">
        <v>471000</v>
      </c>
      <c r="BC132" s="110">
        <f>Таблица_тренинг_Т[[#This Row],[опыт]]+BC131</f>
        <v>1675000</v>
      </c>
      <c r="BD132" s="184">
        <v>0.08</v>
      </c>
      <c r="BE132" s="231">
        <f>Таблица_тренинг_Т[[#This Row],[телосложение2]]+BE131</f>
        <v>1.36</v>
      </c>
    </row>
    <row r="133" spans="1:57" x14ac:dyDescent="0.25">
      <c r="A133" s="115">
        <v>31</v>
      </c>
      <c r="B133" s="132">
        <v>1409000</v>
      </c>
      <c r="C133" s="146">
        <f>Таблица_навык_снайперские_винтовки[[#This Row],[опыт ]]+C132</f>
        <v>10426000</v>
      </c>
      <c r="D133" s="260"/>
      <c r="E133" s="261">
        <f>Таблица_навык_снайперские_винтовки[[#This Row],[Крит. Поп.]]+E132</f>
        <v>0.14000000000000001</v>
      </c>
      <c r="F133" s="270">
        <v>0.02</v>
      </c>
      <c r="G133" s="271">
        <f>Таблица_навык_снайперские_винтовки[[#This Row],[Крит. Урон СВ]]+G132</f>
        <v>0.14000000000000001</v>
      </c>
      <c r="H133" s="270"/>
      <c r="I133" s="271">
        <f>Таблица_навык_снайперские_винтовки[[#This Row],[Урон СВ]]+I132</f>
        <v>0.12000000000000001</v>
      </c>
      <c r="M133" s="3"/>
      <c r="Q133" s="147">
        <v>31</v>
      </c>
      <c r="R133" s="116">
        <v>1539000</v>
      </c>
      <c r="S133" s="318">
        <f>Таблица_навык_ТБ[[#This Row],[опыт]]+S132</f>
        <v>11142000</v>
      </c>
      <c r="T133" s="268"/>
      <c r="U133" s="316">
        <f>Таблица_навык_ТБ[[#This Row],[маскировка]]+U132</f>
        <v>16</v>
      </c>
      <c r="V133" s="315">
        <v>2</v>
      </c>
      <c r="W133" s="316">
        <f>Таблица_навык_ТБ[[#This Row],[крит уклонение]]+W132</f>
        <v>32</v>
      </c>
      <c r="AE133" s="115">
        <v>8</v>
      </c>
      <c r="AF133" s="116">
        <v>12000</v>
      </c>
      <c r="AG133" s="146">
        <f>Таблица_навык_метаболизм[[#This Row],[опыт]]+AG132</f>
        <v>42000</v>
      </c>
      <c r="AH133" s="268"/>
      <c r="AI133" s="308">
        <f>Таблица_навык_метаболизм[[#This Row],[регенерация]]+AI132</f>
        <v>3</v>
      </c>
      <c r="AJ133" s="268">
        <v>1</v>
      </c>
      <c r="AK133" s="308">
        <f>Таблица_навык_метаболизм[[#This Row],[лечение]]+AK132</f>
        <v>3</v>
      </c>
      <c r="AL133" s="260"/>
      <c r="AM133" s="261">
        <f>Таблица_навык_метаболизм[[#This Row],[восст.эффект.]]+AM132</f>
        <v>0.04</v>
      </c>
      <c r="AN133" s="3"/>
      <c r="AO133" s="3"/>
      <c r="AQ133" s="115">
        <v>22</v>
      </c>
      <c r="AR133" s="116">
        <v>380000</v>
      </c>
      <c r="AS133" s="146">
        <f>Таблица_навык_ксенофизиология[[#This Row],[опыт]]+AS132</f>
        <v>1747000</v>
      </c>
      <c r="AT133" s="262">
        <v>0.03</v>
      </c>
      <c r="AU133" s="322">
        <f>Таблица_навык_ксенофизиология[[#This Row],[крит. Попад.]]+AU132</f>
        <v>0.46000000000000008</v>
      </c>
      <c r="AV133" s="262">
        <v>0.05</v>
      </c>
      <c r="AW133" s="322">
        <f>Таблица_навык_ксенофизиология[[#This Row],[крит. Урон]]+AW132</f>
        <v>1.1000000000000003</v>
      </c>
      <c r="AX133" s="262">
        <v>0.01</v>
      </c>
      <c r="AY133" s="322">
        <f>Таблица_навык_ксенофизиология[[#This Row],[урон]]+AY132</f>
        <v>0.22000000000000006</v>
      </c>
      <c r="BA133" s="110">
        <v>18</v>
      </c>
      <c r="BB133" s="110">
        <v>649000</v>
      </c>
      <c r="BC133" s="110">
        <f>Таблица_тренинг_Т[[#This Row],[опыт]]+BC132</f>
        <v>2324000</v>
      </c>
      <c r="BD133" s="184">
        <v>0.08</v>
      </c>
      <c r="BE133" s="231">
        <f>Таблица_тренинг_Т[[#This Row],[телосложение2]]+BE132</f>
        <v>1.4400000000000002</v>
      </c>
    </row>
    <row r="134" spans="1:57" x14ac:dyDescent="0.25">
      <c r="A134" s="115">
        <v>32</v>
      </c>
      <c r="B134" s="116">
        <v>1615000</v>
      </c>
      <c r="C134" s="146">
        <f>Таблица_навык_снайперские_винтовки[[#This Row],[опыт ]]+C133</f>
        <v>12041000</v>
      </c>
      <c r="D134" s="260"/>
      <c r="E134" s="261">
        <f>Таблица_навык_снайперские_винтовки[[#This Row],[Крит. Поп.]]+E133</f>
        <v>0.14000000000000001</v>
      </c>
      <c r="F134" s="270"/>
      <c r="G134" s="271">
        <f>Таблица_навык_снайперские_винтовки[[#This Row],[Крит. Урон СВ]]+G133</f>
        <v>0.14000000000000001</v>
      </c>
      <c r="H134" s="270">
        <v>0.02</v>
      </c>
      <c r="I134" s="271">
        <f>Таблица_навык_снайперские_винтовки[[#This Row],[Урон СВ]]+I133</f>
        <v>0.14000000000000001</v>
      </c>
      <c r="M134" s="3"/>
      <c r="Q134" s="147">
        <v>32</v>
      </c>
      <c r="R134" s="116">
        <v>1772000</v>
      </c>
      <c r="S134" s="318">
        <f>Таблица_навык_ТБ[[#This Row],[опыт]]+S133</f>
        <v>12914000</v>
      </c>
      <c r="T134" s="268">
        <v>1</v>
      </c>
      <c r="U134" s="316">
        <f>Таблица_навык_ТБ[[#This Row],[маскировка]]+U133</f>
        <v>17</v>
      </c>
      <c r="V134" s="315"/>
      <c r="W134" s="316">
        <f>Таблица_навык_ТБ[[#This Row],[крит уклонение]]+W133</f>
        <v>32</v>
      </c>
      <c r="AE134" s="115">
        <v>9</v>
      </c>
      <c r="AF134" s="116">
        <v>16000</v>
      </c>
      <c r="AG134" s="146">
        <f>Таблица_навык_метаболизм[[#This Row],[опыт]]+AG133</f>
        <v>58000</v>
      </c>
      <c r="AH134" s="315"/>
      <c r="AI134" s="308">
        <f>Таблица_навык_метаболизм[[#This Row],[регенерация]]+AI133</f>
        <v>3</v>
      </c>
      <c r="AJ134" s="268"/>
      <c r="AK134" s="308">
        <f>Таблица_навык_метаболизм[[#This Row],[лечение]]+AK133</f>
        <v>3</v>
      </c>
      <c r="AL134" s="260">
        <v>0.02</v>
      </c>
      <c r="AM134" s="261">
        <f>Таблица_навык_метаболизм[[#This Row],[восст.эффект.]]+AM133</f>
        <v>0.06</v>
      </c>
      <c r="AN134" s="3"/>
      <c r="AO134" s="3"/>
      <c r="AQ134" s="115">
        <v>23</v>
      </c>
      <c r="AR134" s="116">
        <v>481000</v>
      </c>
      <c r="AS134" s="146">
        <f>Таблица_навык_ксенофизиология[[#This Row],[опыт]]+AS133</f>
        <v>2228000</v>
      </c>
      <c r="AT134" s="262">
        <v>0.03</v>
      </c>
      <c r="AU134" s="322">
        <f>Таблица_навык_ксенофизиология[[#This Row],[крит. Попад.]]+AU133</f>
        <v>0.4900000000000001</v>
      </c>
      <c r="AV134" s="262">
        <v>0.05</v>
      </c>
      <c r="AW134" s="322">
        <f>Таблица_навык_ксенофизиология[[#This Row],[крит. Урон]]+AW133</f>
        <v>1.1500000000000004</v>
      </c>
      <c r="AX134" s="262">
        <v>0.01</v>
      </c>
      <c r="AY134" s="322">
        <f>Таблица_навык_ксенофизиология[[#This Row],[урон]]+AY133</f>
        <v>0.23000000000000007</v>
      </c>
      <c r="BA134" s="110">
        <v>19</v>
      </c>
      <c r="BB134" s="110">
        <v>889000</v>
      </c>
      <c r="BC134" s="110">
        <f>Таблица_тренинг_Т[[#This Row],[опыт]]+BC133</f>
        <v>3213000</v>
      </c>
      <c r="BD134" s="184">
        <v>0.08</v>
      </c>
      <c r="BE134" s="231">
        <f>Таблица_тренинг_Т[[#This Row],[телосложение2]]+BE133</f>
        <v>1.5200000000000002</v>
      </c>
    </row>
    <row r="135" spans="1:57" x14ac:dyDescent="0.25">
      <c r="A135" s="115">
        <v>33</v>
      </c>
      <c r="B135" s="132">
        <v>1852000</v>
      </c>
      <c r="C135" s="146">
        <f>Таблица_навык_снайперские_винтовки[[#This Row],[опыт ]]+C134</f>
        <v>13893000</v>
      </c>
      <c r="D135" s="260">
        <v>0.02</v>
      </c>
      <c r="E135" s="261">
        <f>Таблица_навык_снайперские_винтовки[[#This Row],[Крит. Поп.]]+E134</f>
        <v>0.16</v>
      </c>
      <c r="F135" s="270"/>
      <c r="G135" s="271">
        <f>Таблица_навык_снайперские_винтовки[[#This Row],[Крит. Урон СВ]]+G134</f>
        <v>0.14000000000000001</v>
      </c>
      <c r="H135" s="270"/>
      <c r="I135" s="271">
        <f>Таблица_навык_снайперские_винтовки[[#This Row],[Урон СВ]]+I134</f>
        <v>0.14000000000000001</v>
      </c>
      <c r="M135" s="3"/>
      <c r="Q135" s="147">
        <v>33</v>
      </c>
      <c r="R135" s="116">
        <v>2040000</v>
      </c>
      <c r="S135" s="318">
        <f>Таблица_навык_ТБ[[#This Row],[опыт]]+S134</f>
        <v>14954000</v>
      </c>
      <c r="T135" s="268"/>
      <c r="U135" s="316">
        <f>Таблица_навык_ТБ[[#This Row],[маскировка]]+U134</f>
        <v>17</v>
      </c>
      <c r="V135" s="315">
        <v>2</v>
      </c>
      <c r="W135" s="316">
        <f>Таблица_навык_ТБ[[#This Row],[крит уклонение]]+W134</f>
        <v>34</v>
      </c>
      <c r="AE135" s="115">
        <v>10</v>
      </c>
      <c r="AF135" s="116">
        <v>21000</v>
      </c>
      <c r="AG135" s="146">
        <f>Таблица_навык_метаболизм[[#This Row],[опыт]]+AG134</f>
        <v>79000</v>
      </c>
      <c r="AH135" s="268">
        <v>1</v>
      </c>
      <c r="AI135" s="308">
        <f>Таблица_навык_метаболизм[[#This Row],[регенерация]]+AI134</f>
        <v>4</v>
      </c>
      <c r="AJ135" s="268"/>
      <c r="AK135" s="308">
        <f>Таблица_навык_метаболизм[[#This Row],[лечение]]+AK134</f>
        <v>3</v>
      </c>
      <c r="AL135" s="260"/>
      <c r="AM135" s="261">
        <f>Таблица_навык_метаболизм[[#This Row],[восст.эффект.]]+AM134</f>
        <v>0.06</v>
      </c>
      <c r="AN135" s="3"/>
      <c r="AO135" s="3"/>
      <c r="AQ135" s="115">
        <v>24</v>
      </c>
      <c r="AR135" s="116">
        <v>609000</v>
      </c>
      <c r="AS135" s="146">
        <f>Таблица_навык_ксенофизиология[[#This Row],[опыт]]+AS134</f>
        <v>2837000</v>
      </c>
      <c r="AT135" s="262">
        <v>0.03</v>
      </c>
      <c r="AU135" s="322">
        <f>Таблица_навык_ксенофизиология[[#This Row],[крит. Попад.]]+AU134</f>
        <v>0.52000000000000013</v>
      </c>
      <c r="AV135" s="262">
        <v>0.05</v>
      </c>
      <c r="AW135" s="322">
        <f>Таблица_навык_ксенофизиология[[#This Row],[крит. Урон]]+AW134</f>
        <v>1.2000000000000004</v>
      </c>
      <c r="AX135" s="262">
        <v>0.01</v>
      </c>
      <c r="AY135" s="322">
        <f>Таблица_навык_ксенофизиология[[#This Row],[урон]]+AY134</f>
        <v>0.24000000000000007</v>
      </c>
      <c r="BA135" s="110">
        <v>20</v>
      </c>
      <c r="BB135" s="110">
        <v>1218000</v>
      </c>
      <c r="BC135" s="110">
        <f>Таблица_тренинг_Т[[#This Row],[опыт]]+BC134</f>
        <v>4431000</v>
      </c>
      <c r="BD135" s="184">
        <v>0.08</v>
      </c>
      <c r="BE135" s="231">
        <f>Таблица_тренинг_Т[[#This Row],[телосложение2]]+BE134</f>
        <v>1.6000000000000003</v>
      </c>
    </row>
    <row r="136" spans="1:57" x14ac:dyDescent="0.25">
      <c r="A136" s="115">
        <v>34</v>
      </c>
      <c r="B136" s="116">
        <v>2121000</v>
      </c>
      <c r="C136" s="146">
        <f>Таблица_навык_снайперские_винтовки[[#This Row],[опыт ]]+C135</f>
        <v>16014000</v>
      </c>
      <c r="D136" s="260"/>
      <c r="E136" s="261">
        <f>Таблица_навык_снайперские_винтовки[[#This Row],[Крит. Поп.]]+E135</f>
        <v>0.16</v>
      </c>
      <c r="F136" s="270">
        <v>0.02</v>
      </c>
      <c r="G136" s="271">
        <f>Таблица_навык_снайперские_винтовки[[#This Row],[Крит. Урон СВ]]+G135</f>
        <v>0.16</v>
      </c>
      <c r="H136" s="270"/>
      <c r="I136" s="271">
        <f>Таблица_навык_снайперские_винтовки[[#This Row],[Урон СВ]]+I135</f>
        <v>0.14000000000000001</v>
      </c>
      <c r="M136" s="3"/>
      <c r="Q136" s="147">
        <v>34</v>
      </c>
      <c r="R136" s="116">
        <v>2345000</v>
      </c>
      <c r="S136" s="318">
        <f>Таблица_навык_ТБ[[#This Row],[опыт]]+S135</f>
        <v>17299000</v>
      </c>
      <c r="T136" s="268">
        <v>1</v>
      </c>
      <c r="U136" s="316">
        <f>Таблица_навык_ТБ[[#This Row],[маскировка]]+U135</f>
        <v>18</v>
      </c>
      <c r="V136" s="315"/>
      <c r="W136" s="316">
        <f>Таблица_навык_ТБ[[#This Row],[крит уклонение]]+W135</f>
        <v>34</v>
      </c>
      <c r="AE136" s="115">
        <v>11</v>
      </c>
      <c r="AF136" s="116">
        <v>28000</v>
      </c>
      <c r="AG136" s="146">
        <f>Таблица_навык_метаболизм[[#This Row],[опыт]]+AG135</f>
        <v>107000</v>
      </c>
      <c r="AH136" s="315"/>
      <c r="AI136" s="308">
        <f>Таблица_навык_метаболизм[[#This Row],[регенерация]]+AI135</f>
        <v>4</v>
      </c>
      <c r="AJ136" s="268">
        <v>1</v>
      </c>
      <c r="AK136" s="308">
        <f>Таблица_навык_метаболизм[[#This Row],[лечение]]+AK135</f>
        <v>4</v>
      </c>
      <c r="AL136" s="260"/>
      <c r="AM136" s="261">
        <f>Таблица_навык_метаболизм[[#This Row],[восст.эффект.]]+AM135</f>
        <v>0.06</v>
      </c>
      <c r="AN136" s="3"/>
      <c r="AO136" s="3"/>
      <c r="AQ136" s="115">
        <v>25</v>
      </c>
      <c r="AR136" s="116">
        <v>768000</v>
      </c>
      <c r="AS136" s="146">
        <f>Таблица_навык_ксенофизиология[[#This Row],[опыт]]+AS135</f>
        <v>3605000</v>
      </c>
      <c r="AT136" s="262">
        <v>0.03</v>
      </c>
      <c r="AU136" s="322">
        <f>Таблица_навык_ксенофизиология[[#This Row],[крит. Попад.]]+AU135</f>
        <v>0.55000000000000016</v>
      </c>
      <c r="AV136" s="262">
        <v>0.05</v>
      </c>
      <c r="AW136" s="322">
        <f>Таблица_навык_ксенофизиология[[#This Row],[крит. Урон]]+AW135</f>
        <v>1.2500000000000004</v>
      </c>
      <c r="AX136" s="262">
        <v>0.01</v>
      </c>
      <c r="AY136" s="322">
        <f>Таблица_навык_ксенофизиология[[#This Row],[урон]]+AY135</f>
        <v>0.25000000000000006</v>
      </c>
      <c r="BA136" s="110">
        <v>21</v>
      </c>
      <c r="BB136" s="110">
        <v>1663000</v>
      </c>
      <c r="BC136" s="110">
        <f>Таблица_тренинг_Т[[#This Row],[опыт]]+BC135</f>
        <v>6094000</v>
      </c>
      <c r="BD136" s="184">
        <v>0.08</v>
      </c>
      <c r="BE136" s="231">
        <f>Таблица_тренинг_Т[[#This Row],[телосложение2]]+BE135</f>
        <v>1.6800000000000004</v>
      </c>
    </row>
    <row r="137" spans="1:57" ht="16.5" thickBot="1" x14ac:dyDescent="0.3">
      <c r="A137" s="118">
        <v>35</v>
      </c>
      <c r="B137" s="133">
        <v>2429000</v>
      </c>
      <c r="C137" s="274">
        <f>Таблица_навык_снайперские_винтовки[[#This Row],[опыт ]]+C136</f>
        <v>18443000</v>
      </c>
      <c r="D137" s="266"/>
      <c r="E137" s="264">
        <f>Таблица_навык_снайперские_винтовки[[#This Row],[Крит. Поп.]]+E136</f>
        <v>0.16</v>
      </c>
      <c r="F137" s="272"/>
      <c r="G137" s="273">
        <f>Таблица_навык_снайперские_винтовки[[#This Row],[Крит. Урон СВ]]+G136</f>
        <v>0.16</v>
      </c>
      <c r="H137" s="272"/>
      <c r="I137" s="273">
        <f>Таблица_навык_снайперские_винтовки[[#This Row],[Урон СВ]]+I136</f>
        <v>0.14000000000000001</v>
      </c>
      <c r="M137" s="3"/>
      <c r="Q137" s="148">
        <v>35</v>
      </c>
      <c r="R137" s="119">
        <v>2695000</v>
      </c>
      <c r="S137" s="319">
        <f>Таблица_навык_ТБ[[#This Row],[опыт]]+S136</f>
        <v>19994000</v>
      </c>
      <c r="T137" s="311"/>
      <c r="U137" s="317">
        <f>Таблица_навык_ТБ[[#This Row],[маскировка]]+U136</f>
        <v>18</v>
      </c>
      <c r="V137" s="311"/>
      <c r="W137" s="317">
        <f>Таблица_навык_ТБ[[#This Row],[крит уклонение]]+W136</f>
        <v>34</v>
      </c>
      <c r="AE137" s="115">
        <v>12</v>
      </c>
      <c r="AF137" s="116">
        <v>37000</v>
      </c>
      <c r="AG137" s="146">
        <f>Таблица_навык_метаболизм[[#This Row],[опыт]]+AG136</f>
        <v>144000</v>
      </c>
      <c r="AH137" s="268"/>
      <c r="AI137" s="308">
        <f>Таблица_навык_метаболизм[[#This Row],[регенерация]]+AI136</f>
        <v>4</v>
      </c>
      <c r="AJ137" s="268"/>
      <c r="AK137" s="308">
        <f>Таблица_навык_метаболизм[[#This Row],[лечение]]+AK136</f>
        <v>4</v>
      </c>
      <c r="AL137" s="260">
        <v>0.02</v>
      </c>
      <c r="AM137" s="261">
        <f>Таблица_навык_метаболизм[[#This Row],[восст.эффект.]]+AM136</f>
        <v>0.08</v>
      </c>
      <c r="AN137" s="3"/>
      <c r="AO137" s="3"/>
      <c r="AQ137" s="115">
        <v>26</v>
      </c>
      <c r="AR137" s="116">
        <v>969000</v>
      </c>
      <c r="AS137" s="146">
        <f>Таблица_навык_ксенофизиология[[#This Row],[опыт]]+AS136</f>
        <v>4574000</v>
      </c>
      <c r="AT137" s="262">
        <v>0.03</v>
      </c>
      <c r="AU137" s="322">
        <f>Таблица_навык_ксенофизиология[[#This Row],[крит. Попад.]]+AU136</f>
        <v>0.58000000000000018</v>
      </c>
      <c r="AV137" s="262">
        <v>0.05</v>
      </c>
      <c r="AW137" s="322">
        <f>Таблица_навык_ксенофизиология[[#This Row],[крит. Урон]]+AW136</f>
        <v>1.3000000000000005</v>
      </c>
      <c r="AX137" s="262">
        <v>0.01</v>
      </c>
      <c r="AY137" s="322">
        <f>Таблица_навык_ксенофизиология[[#This Row],[урон]]+AY136</f>
        <v>0.26000000000000006</v>
      </c>
      <c r="BA137" s="110">
        <v>22</v>
      </c>
      <c r="BB137" s="110">
        <v>2270000</v>
      </c>
      <c r="BC137" s="110">
        <f>Таблица_тренинг_Т[[#This Row],[опыт]]+BC136</f>
        <v>8364000</v>
      </c>
      <c r="BD137" s="184">
        <v>0.08</v>
      </c>
      <c r="BE137" s="231">
        <f>Таблица_тренинг_Т[[#This Row],[телосложение2]]+BE136</f>
        <v>1.7600000000000005</v>
      </c>
    </row>
    <row r="138" spans="1:57" ht="16.5" thickBot="1" x14ac:dyDescent="0.3">
      <c r="AE138" s="115">
        <v>13</v>
      </c>
      <c r="AF138" s="116">
        <v>48000</v>
      </c>
      <c r="AG138" s="146">
        <f>Таблица_навык_метаболизм[[#This Row],[опыт]]+AG137</f>
        <v>192000</v>
      </c>
      <c r="AH138" s="315">
        <v>1</v>
      </c>
      <c r="AI138" s="308">
        <f>Таблица_навык_метаболизм[[#This Row],[регенерация]]+AI137</f>
        <v>5</v>
      </c>
      <c r="AJ138" s="268"/>
      <c r="AK138" s="308">
        <f>Таблица_навык_метаболизм[[#This Row],[лечение]]+AK137</f>
        <v>4</v>
      </c>
      <c r="AL138" s="260"/>
      <c r="AM138" s="261">
        <f>Таблица_навык_метаболизм[[#This Row],[восст.эффект.]]+AM137</f>
        <v>0.08</v>
      </c>
      <c r="AN138" s="3"/>
      <c r="AO138" s="3"/>
      <c r="AQ138" s="115">
        <v>27</v>
      </c>
      <c r="AR138" s="116">
        <v>1221000</v>
      </c>
      <c r="AS138" s="146">
        <f>Таблица_навык_ксенофизиология[[#This Row],[опыт]]+AS137</f>
        <v>5795000</v>
      </c>
      <c r="AT138" s="262">
        <v>0.03</v>
      </c>
      <c r="AU138" s="322">
        <f>Таблица_навык_ксенофизиология[[#This Row],[крит. Попад.]]+AU137</f>
        <v>0.61000000000000021</v>
      </c>
      <c r="AV138" s="262">
        <v>0.05</v>
      </c>
      <c r="AW138" s="322">
        <f>Таблица_навык_ксенофизиология[[#This Row],[крит. Урон]]+AW137</f>
        <v>1.3500000000000005</v>
      </c>
      <c r="AX138" s="262">
        <v>0.01</v>
      </c>
      <c r="AY138" s="322">
        <f>Таблица_навык_ксенофизиология[[#This Row],[урон]]+AY137</f>
        <v>0.27000000000000007</v>
      </c>
      <c r="BA138" s="110">
        <v>23</v>
      </c>
      <c r="BB138" s="110">
        <v>3090000</v>
      </c>
      <c r="BC138" s="110">
        <f>Таблица_тренинг_Т[[#This Row],[опыт]]+BC137</f>
        <v>11454000</v>
      </c>
      <c r="BD138" s="184">
        <v>0.08</v>
      </c>
      <c r="BE138" s="231">
        <f>Таблица_тренинг_Т[[#This Row],[телосложение2]]+BE137</f>
        <v>1.8400000000000005</v>
      </c>
    </row>
    <row r="139" spans="1:57" x14ac:dyDescent="0.25">
      <c r="A139" s="129" t="s">
        <v>106</v>
      </c>
      <c r="B139" s="113" t="s">
        <v>153</v>
      </c>
      <c r="C139" s="105" t="s">
        <v>495</v>
      </c>
      <c r="D139" s="265" t="s">
        <v>393</v>
      </c>
      <c r="E139" s="276" t="s">
        <v>534</v>
      </c>
      <c r="F139" s="258" t="s">
        <v>394</v>
      </c>
      <c r="G139" s="276" t="s">
        <v>499</v>
      </c>
      <c r="H139" s="258" t="s">
        <v>395</v>
      </c>
      <c r="I139" s="276" t="s">
        <v>496</v>
      </c>
      <c r="Q139" s="111" t="s">
        <v>122</v>
      </c>
      <c r="R139" s="112" t="s">
        <v>153</v>
      </c>
      <c r="S139" s="131" t="s">
        <v>495</v>
      </c>
      <c r="T139" s="258" t="s">
        <v>498</v>
      </c>
      <c r="U139" s="259" t="s">
        <v>496</v>
      </c>
      <c r="V139" s="258" t="s">
        <v>1</v>
      </c>
      <c r="W139" s="259" t="s">
        <v>499</v>
      </c>
      <c r="AE139" s="115">
        <v>14</v>
      </c>
      <c r="AF139" s="116">
        <v>62000</v>
      </c>
      <c r="AG139" s="146">
        <f>Таблица_навык_метаболизм[[#This Row],[опыт]]+AG138</f>
        <v>254000</v>
      </c>
      <c r="AH139" s="268"/>
      <c r="AI139" s="308">
        <f>Таблица_навык_метаболизм[[#This Row],[регенерация]]+AI138</f>
        <v>5</v>
      </c>
      <c r="AJ139" s="268">
        <v>1</v>
      </c>
      <c r="AK139" s="308">
        <f>Таблица_навык_метаболизм[[#This Row],[лечение]]+AK138</f>
        <v>5</v>
      </c>
      <c r="AL139" s="260"/>
      <c r="AM139" s="261">
        <f>Таблица_навык_метаболизм[[#This Row],[восст.эффект.]]+AM138</f>
        <v>0.08</v>
      </c>
      <c r="AN139" s="3"/>
      <c r="AO139" s="3"/>
      <c r="AQ139" s="115">
        <v>28</v>
      </c>
      <c r="AR139" s="116">
        <v>1537000</v>
      </c>
      <c r="AS139" s="146">
        <f>Таблица_навык_ксенофизиология[[#This Row],[опыт]]+AS138</f>
        <v>7332000</v>
      </c>
      <c r="AT139" s="262">
        <v>0.03</v>
      </c>
      <c r="AU139" s="322">
        <f>Таблица_навык_ксенофизиология[[#This Row],[крит. Попад.]]+AU138</f>
        <v>0.64000000000000024</v>
      </c>
      <c r="AV139" s="262">
        <v>0.05</v>
      </c>
      <c r="AW139" s="322">
        <f>Таблица_навык_ксенофизиология[[#This Row],[крит. Урон]]+AW138</f>
        <v>1.4000000000000006</v>
      </c>
      <c r="AX139" s="262">
        <v>0.01</v>
      </c>
      <c r="AY139" s="322">
        <f>Таблица_навык_ксенофизиология[[#This Row],[урон]]+AY138</f>
        <v>0.28000000000000008</v>
      </c>
      <c r="BA139" s="110">
        <v>24</v>
      </c>
      <c r="BB139" s="110">
        <v>4203000</v>
      </c>
      <c r="BC139" s="110">
        <f>Таблица_тренинг_Т[[#This Row],[опыт]]+BC138</f>
        <v>15657000</v>
      </c>
      <c r="BD139" s="184">
        <v>0.08</v>
      </c>
      <c r="BE139" s="231">
        <f>Таблица_тренинг_Т[[#This Row],[телосложение2]]+BE138</f>
        <v>1.9200000000000006</v>
      </c>
    </row>
    <row r="140" spans="1:57" ht="16.5" thickBot="1" x14ac:dyDescent="0.3">
      <c r="A140" s="124">
        <v>0</v>
      </c>
      <c r="B140" s="125">
        <v>0</v>
      </c>
      <c r="C140" s="299">
        <v>0</v>
      </c>
      <c r="D140" s="296"/>
      <c r="E140" s="261">
        <v>0</v>
      </c>
      <c r="F140" s="296"/>
      <c r="G140" s="261">
        <v>0</v>
      </c>
      <c r="H140" s="296"/>
      <c r="I140" s="261">
        <v>0</v>
      </c>
      <c r="Q140" s="115">
        <v>0</v>
      </c>
      <c r="R140" s="116">
        <v>0</v>
      </c>
      <c r="S140" s="146">
        <v>0</v>
      </c>
      <c r="T140" s="268"/>
      <c r="U140" s="308">
        <v>0</v>
      </c>
      <c r="V140" s="268"/>
      <c r="W140" s="261">
        <v>0</v>
      </c>
      <c r="AE140" s="115">
        <v>15</v>
      </c>
      <c r="AF140" s="116">
        <v>81000</v>
      </c>
      <c r="AG140" s="146">
        <f>Таблица_навык_метаболизм[[#This Row],[опыт]]+AG139</f>
        <v>335000</v>
      </c>
      <c r="AH140" s="315"/>
      <c r="AI140" s="308">
        <f>Таблица_навык_метаболизм[[#This Row],[регенерация]]+AI139</f>
        <v>5</v>
      </c>
      <c r="AJ140" s="268"/>
      <c r="AK140" s="308">
        <f>Таблица_навык_метаболизм[[#This Row],[лечение]]+AK139</f>
        <v>5</v>
      </c>
      <c r="AL140" s="260">
        <v>0.02</v>
      </c>
      <c r="AM140" s="261">
        <f>Таблица_навык_метаболизм[[#This Row],[восст.эффект.]]+AM139</f>
        <v>0.1</v>
      </c>
      <c r="AN140" s="3"/>
      <c r="AO140" s="3"/>
      <c r="AQ140" s="115">
        <v>29</v>
      </c>
      <c r="AR140" s="116">
        <v>1933000</v>
      </c>
      <c r="AS140" s="146">
        <f>Таблица_навык_ксенофизиология[[#This Row],[опыт]]+AS139</f>
        <v>9265000</v>
      </c>
      <c r="AT140" s="262">
        <v>0.03</v>
      </c>
      <c r="AU140" s="322">
        <f>Таблица_навык_ксенофизиология[[#This Row],[крит. Попад.]]+AU139</f>
        <v>0.67000000000000026</v>
      </c>
      <c r="AV140" s="262">
        <v>0.05</v>
      </c>
      <c r="AW140" s="322">
        <f>Таблица_навык_ксенофизиология[[#This Row],[крит. Урон]]+AW139</f>
        <v>1.4500000000000006</v>
      </c>
      <c r="AX140" s="262">
        <v>0.01</v>
      </c>
      <c r="AY140" s="322">
        <f>Таблица_навык_ксенофизиология[[#This Row],[урон]]+AY139</f>
        <v>0.29000000000000009</v>
      </c>
      <c r="BA140" s="110">
        <v>25</v>
      </c>
      <c r="BB140" s="110">
        <v>5709000</v>
      </c>
      <c r="BC140" s="110">
        <f>Таблица_тренинг_Т[[#This Row],[опыт]]+BC139</f>
        <v>21366000</v>
      </c>
      <c r="BD140" s="185">
        <v>0.08</v>
      </c>
      <c r="BE140" s="232">
        <f>Таблица_тренинг_Т[[#This Row],[телосложение2]]+BE139</f>
        <v>2.0000000000000004</v>
      </c>
    </row>
    <row r="141" spans="1:57" ht="16.5" thickBot="1" x14ac:dyDescent="0.3">
      <c r="A141" s="124">
        <v>1</v>
      </c>
      <c r="B141" s="125">
        <v>2000</v>
      </c>
      <c r="C141" s="299">
        <f>B141+0</f>
        <v>2000</v>
      </c>
      <c r="D141" s="297"/>
      <c r="E141" s="261">
        <f>D141+0</f>
        <v>0</v>
      </c>
      <c r="F141" s="297"/>
      <c r="G141" s="261">
        <f>F141+0</f>
        <v>0</v>
      </c>
      <c r="H141" s="297"/>
      <c r="I141" s="261">
        <f>H141+0</f>
        <v>0</v>
      </c>
      <c r="Q141" s="115">
        <v>1</v>
      </c>
      <c r="R141" s="116">
        <v>1000</v>
      </c>
      <c r="S141" s="146">
        <f>Таблица_навык_ШБ[[#This Row],[опыт]]+S140</f>
        <v>1000</v>
      </c>
      <c r="T141" s="268"/>
      <c r="U141" s="308">
        <f>Таблица_навык_ШБ[[#This Row],[крит уклонение]]+U140</f>
        <v>0</v>
      </c>
      <c r="V141" s="260"/>
      <c r="W141" s="261">
        <f>Таблица_навык_ШБ[[#This Row],[защита]]+W140</f>
        <v>0</v>
      </c>
      <c r="AE141" s="115">
        <v>16</v>
      </c>
      <c r="AF141" s="116">
        <v>104000</v>
      </c>
      <c r="AG141" s="146">
        <f>Таблица_навык_метаболизм[[#This Row],[опыт]]+AG140</f>
        <v>439000</v>
      </c>
      <c r="AH141" s="268">
        <v>2</v>
      </c>
      <c r="AI141" s="308">
        <f>Таблица_навык_метаболизм[[#This Row],[регенерация]]+AI140</f>
        <v>7</v>
      </c>
      <c r="AJ141" s="268"/>
      <c r="AK141" s="308">
        <f>Таблица_навык_метаболизм[[#This Row],[лечение]]+AK140</f>
        <v>5</v>
      </c>
      <c r="AL141" s="260"/>
      <c r="AM141" s="261">
        <f>Таблица_навык_метаболизм[[#This Row],[восст.эффект.]]+AM140</f>
        <v>0.1</v>
      </c>
      <c r="AN141" s="3"/>
      <c r="AO141" s="3"/>
      <c r="AQ141" s="118">
        <v>30</v>
      </c>
      <c r="AR141" s="119">
        <v>2428000</v>
      </c>
      <c r="AS141" s="274">
        <f>Таблица_навык_ксенофизиология[[#This Row],[опыт]]+AS140</f>
        <v>11693000</v>
      </c>
      <c r="AT141" s="263">
        <v>0.03</v>
      </c>
      <c r="AU141" s="323">
        <f>Таблица_навык_ксенофизиология[[#This Row],[крит. Попад.]]+AU140</f>
        <v>0.70000000000000029</v>
      </c>
      <c r="AV141" s="263">
        <v>0.05</v>
      </c>
      <c r="AW141" s="323">
        <f>Таблица_навык_ксенофизиология[[#This Row],[крит. Урон]]+AW140</f>
        <v>1.5000000000000007</v>
      </c>
      <c r="AX141" s="263">
        <v>0.01</v>
      </c>
      <c r="AY141" s="323">
        <f>Таблица_навык_ксенофизиология[[#This Row],[урон]]+AY140</f>
        <v>0.3000000000000001</v>
      </c>
    </row>
    <row r="142" spans="1:57" x14ac:dyDescent="0.25">
      <c r="A142" s="124">
        <v>2</v>
      </c>
      <c r="B142" s="125">
        <v>14000</v>
      </c>
      <c r="C142" s="299">
        <f>B142+C141</f>
        <v>16000</v>
      </c>
      <c r="D142" s="297">
        <v>0.01</v>
      </c>
      <c r="E142" s="261">
        <f>D142+E141</f>
        <v>0.01</v>
      </c>
      <c r="F142" s="297"/>
      <c r="G142" s="261">
        <f>F142+G141</f>
        <v>0</v>
      </c>
      <c r="H142" s="297"/>
      <c r="I142" s="261">
        <f>H142+I141</f>
        <v>0</v>
      </c>
      <c r="Q142" s="115">
        <v>2</v>
      </c>
      <c r="R142" s="116">
        <v>14000</v>
      </c>
      <c r="S142" s="146">
        <f>Таблица_навык_ШБ[[#This Row],[опыт]]+S141</f>
        <v>15000</v>
      </c>
      <c r="T142" s="268">
        <v>2</v>
      </c>
      <c r="U142" s="308">
        <f>Таблица_навык_ШБ[[#This Row],[крит уклонение]]+U141</f>
        <v>2</v>
      </c>
      <c r="V142" s="260"/>
      <c r="W142" s="261">
        <f>Таблица_навык_ШБ[[#This Row],[защита]]+W141</f>
        <v>0</v>
      </c>
      <c r="AE142" s="115">
        <v>17</v>
      </c>
      <c r="AF142" s="116">
        <v>135000</v>
      </c>
      <c r="AG142" s="146">
        <f>Таблица_навык_метаболизм[[#This Row],[опыт]]+AG141</f>
        <v>574000</v>
      </c>
      <c r="AH142" s="315"/>
      <c r="AI142" s="308">
        <f>Таблица_навык_метаболизм[[#This Row],[регенерация]]+AI141</f>
        <v>7</v>
      </c>
      <c r="AJ142" s="268">
        <v>1</v>
      </c>
      <c r="AK142" s="308">
        <f>Таблица_навык_метаболизм[[#This Row],[лечение]]+AK141</f>
        <v>6</v>
      </c>
      <c r="AL142" s="260"/>
      <c r="AM142" s="261">
        <f>Таблица_навык_метаболизм[[#This Row],[восст.эффект.]]+AM141</f>
        <v>0.1</v>
      </c>
      <c r="AN142" s="3"/>
      <c r="AO142" s="3"/>
      <c r="BA142" s="6" t="s">
        <v>151</v>
      </c>
      <c r="BB142" s="154" t="s">
        <v>153</v>
      </c>
      <c r="BC142" s="164" t="s">
        <v>495</v>
      </c>
      <c r="BD142" s="342" t="s">
        <v>544</v>
      </c>
      <c r="BE142" s="230" t="s">
        <v>496</v>
      </c>
    </row>
    <row r="143" spans="1:57" x14ac:dyDescent="0.25">
      <c r="A143" s="124">
        <v>3</v>
      </c>
      <c r="B143" s="125">
        <v>18000</v>
      </c>
      <c r="C143" s="299">
        <f t="shared" ref="C143:C175" si="7">B143+C142</f>
        <v>34000</v>
      </c>
      <c r="D143" s="297"/>
      <c r="E143" s="261">
        <f t="shared" ref="E143:E175" si="8">D143+E142</f>
        <v>0.01</v>
      </c>
      <c r="F143" s="297"/>
      <c r="G143" s="261">
        <f t="shared" ref="G143:G175" si="9">F143+G142</f>
        <v>0</v>
      </c>
      <c r="H143" s="297"/>
      <c r="I143" s="261">
        <f t="shared" ref="I143:I175" si="10">H143+I142</f>
        <v>0</v>
      </c>
      <c r="Q143" s="115">
        <v>3</v>
      </c>
      <c r="R143" s="116">
        <v>17000</v>
      </c>
      <c r="S143" s="146">
        <f>Таблица_навык_ШБ[[#This Row],[опыт]]+S142</f>
        <v>32000</v>
      </c>
      <c r="T143" s="268"/>
      <c r="U143" s="308">
        <f>Таблица_навык_ШБ[[#This Row],[крит уклонение]]+U142</f>
        <v>2</v>
      </c>
      <c r="V143" s="260">
        <v>0.02</v>
      </c>
      <c r="W143" s="261">
        <f>Таблица_навык_ШБ[[#This Row],[защита]]+W142</f>
        <v>0.02</v>
      </c>
      <c r="AE143" s="115">
        <v>18</v>
      </c>
      <c r="AF143" s="116">
        <v>173000</v>
      </c>
      <c r="AG143" s="146">
        <f>Таблица_навык_метаболизм[[#This Row],[опыт]]+AG142</f>
        <v>747000</v>
      </c>
      <c r="AH143" s="268"/>
      <c r="AI143" s="308">
        <f>Таблица_навык_метаболизм[[#This Row],[регенерация]]+AI142</f>
        <v>7</v>
      </c>
      <c r="AJ143" s="268"/>
      <c r="AK143" s="308">
        <f>Таблица_навык_метаболизм[[#This Row],[лечение]]+AK142</f>
        <v>6</v>
      </c>
      <c r="AL143" s="260">
        <v>0.02</v>
      </c>
      <c r="AM143" s="261">
        <f>Таблица_навык_метаболизм[[#This Row],[восст.эффект.]]+AM142</f>
        <v>0.12000000000000001</v>
      </c>
      <c r="AN143" s="3"/>
      <c r="AO143" s="3"/>
      <c r="AQ143" s="110"/>
      <c r="AR143" s="110"/>
      <c r="AS143" s="110"/>
      <c r="AT143" s="110"/>
      <c r="BA143" s="130">
        <v>0</v>
      </c>
      <c r="BB143" s="110">
        <v>0</v>
      </c>
      <c r="BC143" s="130">
        <v>0</v>
      </c>
      <c r="BD143" s="184"/>
      <c r="BE143" s="231">
        <v>0</v>
      </c>
    </row>
    <row r="144" spans="1:57" x14ac:dyDescent="0.25">
      <c r="A144" s="124">
        <v>4</v>
      </c>
      <c r="B144" s="125">
        <v>21000</v>
      </c>
      <c r="C144" s="299">
        <f t="shared" si="7"/>
        <v>55000</v>
      </c>
      <c r="D144" s="297"/>
      <c r="E144" s="261">
        <f t="shared" si="8"/>
        <v>0.01</v>
      </c>
      <c r="F144" s="297">
        <v>5.0000000000000001E-3</v>
      </c>
      <c r="G144" s="261">
        <f t="shared" si="9"/>
        <v>5.0000000000000001E-3</v>
      </c>
      <c r="H144" s="297"/>
      <c r="I144" s="261">
        <f t="shared" si="10"/>
        <v>0</v>
      </c>
      <c r="Q144" s="115">
        <v>4</v>
      </c>
      <c r="R144" s="116">
        <v>21000</v>
      </c>
      <c r="S144" s="146">
        <f>Таблица_навык_ШБ[[#This Row],[опыт]]+S143</f>
        <v>53000</v>
      </c>
      <c r="T144" s="268">
        <v>2</v>
      </c>
      <c r="U144" s="308">
        <f>Таблица_навык_ШБ[[#This Row],[крит уклонение]]+U143</f>
        <v>4</v>
      </c>
      <c r="V144" s="260"/>
      <c r="W144" s="261">
        <f>Таблица_навык_ШБ[[#This Row],[защита]]+W143</f>
        <v>0.02</v>
      </c>
      <c r="AE144" s="115">
        <v>19</v>
      </c>
      <c r="AF144" s="116">
        <v>223000</v>
      </c>
      <c r="AG144" s="146">
        <f>Таблица_навык_метаболизм[[#This Row],[опыт]]+AG143</f>
        <v>970000</v>
      </c>
      <c r="AH144" s="315">
        <v>2</v>
      </c>
      <c r="AI144" s="308">
        <f>Таблица_навык_метаболизм[[#This Row],[регенерация]]+AI143</f>
        <v>9</v>
      </c>
      <c r="AJ144" s="268"/>
      <c r="AK144" s="308">
        <f>Таблица_навык_метаболизм[[#This Row],[лечение]]+AK143</f>
        <v>6</v>
      </c>
      <c r="AL144" s="260"/>
      <c r="AM144" s="261">
        <f>Таблица_навык_метаболизм[[#This Row],[восст.эффект.]]+AM143</f>
        <v>0.12000000000000001</v>
      </c>
      <c r="AN144" s="3"/>
      <c r="AO144" s="3"/>
      <c r="AQ144" s="130"/>
      <c r="AR144" s="130"/>
      <c r="AS144" s="130"/>
      <c r="AT144" s="130"/>
      <c r="BA144" s="130">
        <v>1</v>
      </c>
      <c r="BB144" s="110">
        <v>1000</v>
      </c>
      <c r="BC144" s="130">
        <f>Таблица_тренинг_СВ[[#This Row],[опыт]]+BC143</f>
        <v>1000</v>
      </c>
      <c r="BD144" s="343">
        <v>0.08</v>
      </c>
      <c r="BE144" s="231">
        <f>Таблица_тренинг_СВ[[#This Row],[сила воли2]]+BE143</f>
        <v>0.08</v>
      </c>
    </row>
    <row r="145" spans="1:57" x14ac:dyDescent="0.25">
      <c r="A145" s="124">
        <v>5</v>
      </c>
      <c r="B145" s="125">
        <v>26000</v>
      </c>
      <c r="C145" s="299">
        <f t="shared" si="7"/>
        <v>81000</v>
      </c>
      <c r="D145" s="297"/>
      <c r="E145" s="261">
        <f t="shared" si="8"/>
        <v>0.01</v>
      </c>
      <c r="F145" s="297"/>
      <c r="G145" s="261">
        <f t="shared" si="9"/>
        <v>5.0000000000000001E-3</v>
      </c>
      <c r="H145" s="297">
        <v>0.01</v>
      </c>
      <c r="I145" s="261">
        <f t="shared" si="10"/>
        <v>0.01</v>
      </c>
      <c r="Q145" s="115">
        <v>5</v>
      </c>
      <c r="R145" s="116">
        <v>26000</v>
      </c>
      <c r="S145" s="146">
        <f>Таблица_навык_ШБ[[#This Row],[опыт]]+S144</f>
        <v>79000</v>
      </c>
      <c r="T145" s="268"/>
      <c r="U145" s="308">
        <f>Таблица_навык_ШБ[[#This Row],[крит уклонение]]+U144</f>
        <v>4</v>
      </c>
      <c r="V145" s="260"/>
      <c r="W145" s="261">
        <f>Таблица_навык_ШБ[[#This Row],[защита]]+W144</f>
        <v>0.02</v>
      </c>
      <c r="AE145" s="115">
        <v>20</v>
      </c>
      <c r="AF145" s="116">
        <v>286000</v>
      </c>
      <c r="AG145" s="146">
        <f>Таблица_навык_метаболизм[[#This Row],[опыт]]+AG144</f>
        <v>1256000</v>
      </c>
      <c r="AH145" s="268"/>
      <c r="AI145" s="308">
        <f>Таблица_навык_метаболизм[[#This Row],[регенерация]]+AI144</f>
        <v>9</v>
      </c>
      <c r="AJ145" s="268">
        <v>1</v>
      </c>
      <c r="AK145" s="308">
        <f>Таблица_навык_метаболизм[[#This Row],[лечение]]+AK144</f>
        <v>7</v>
      </c>
      <c r="AL145" s="260"/>
      <c r="AM145" s="261">
        <f>Таблица_навык_метаболизм[[#This Row],[восст.эффект.]]+AM144</f>
        <v>0.12000000000000001</v>
      </c>
      <c r="AN145" s="3"/>
      <c r="AO145" s="3"/>
      <c r="AQ145" s="110"/>
      <c r="AR145" s="110"/>
      <c r="AS145" s="110"/>
      <c r="AT145" s="110"/>
      <c r="BA145" s="130">
        <v>2</v>
      </c>
      <c r="BB145" s="110">
        <v>2000</v>
      </c>
      <c r="BC145" s="130">
        <f>Таблица_тренинг_СВ[[#This Row],[опыт]]+BC144</f>
        <v>3000</v>
      </c>
      <c r="BD145" s="184">
        <v>0.08</v>
      </c>
      <c r="BE145" s="231">
        <f>Таблица_тренинг_СВ[[#This Row],[сила воли2]]+BE144</f>
        <v>0.16</v>
      </c>
    </row>
    <row r="146" spans="1:57" x14ac:dyDescent="0.25">
      <c r="A146" s="124">
        <v>6</v>
      </c>
      <c r="B146" s="125">
        <v>31000</v>
      </c>
      <c r="C146" s="299">
        <f t="shared" si="7"/>
        <v>112000</v>
      </c>
      <c r="D146" s="297">
        <v>0.01</v>
      </c>
      <c r="E146" s="261">
        <f t="shared" si="8"/>
        <v>0.02</v>
      </c>
      <c r="F146" s="297"/>
      <c r="G146" s="261">
        <f t="shared" si="9"/>
        <v>5.0000000000000001E-3</v>
      </c>
      <c r="H146" s="297"/>
      <c r="I146" s="261">
        <f t="shared" si="10"/>
        <v>0.01</v>
      </c>
      <c r="Q146" s="115">
        <v>6</v>
      </c>
      <c r="R146" s="116">
        <v>31000</v>
      </c>
      <c r="S146" s="146">
        <f>Таблица_навык_ШБ[[#This Row],[опыт]]+S145</f>
        <v>110000</v>
      </c>
      <c r="T146" s="268"/>
      <c r="U146" s="308">
        <f>Таблица_навык_ШБ[[#This Row],[крит уклонение]]+U145</f>
        <v>4</v>
      </c>
      <c r="V146" s="260">
        <v>0.02</v>
      </c>
      <c r="W146" s="261">
        <f>Таблица_навык_ШБ[[#This Row],[защита]]+W145</f>
        <v>0.04</v>
      </c>
      <c r="AE146" s="115">
        <v>21</v>
      </c>
      <c r="AF146" s="116">
        <v>367000</v>
      </c>
      <c r="AG146" s="146">
        <f>Таблица_навык_метаболизм[[#This Row],[опыт]]+AG145</f>
        <v>1623000</v>
      </c>
      <c r="AH146" s="315"/>
      <c r="AI146" s="308">
        <f>Таблица_навык_метаболизм[[#This Row],[регенерация]]+AI145</f>
        <v>9</v>
      </c>
      <c r="AJ146" s="268"/>
      <c r="AK146" s="308">
        <f>Таблица_навык_метаболизм[[#This Row],[лечение]]+AK145</f>
        <v>7</v>
      </c>
      <c r="AL146" s="260">
        <v>0.02</v>
      </c>
      <c r="AM146" s="261">
        <f>Таблица_навык_метаболизм[[#This Row],[восст.эффект.]]+AM145</f>
        <v>0.14000000000000001</v>
      </c>
      <c r="AN146" s="3"/>
      <c r="AO146" s="3"/>
      <c r="AQ146" s="130"/>
      <c r="AR146" s="130"/>
      <c r="AS146" s="130"/>
      <c r="AT146" s="130"/>
      <c r="BA146" s="130">
        <v>3</v>
      </c>
      <c r="BB146" s="110">
        <v>4000</v>
      </c>
      <c r="BC146" s="130">
        <f>Таблица_тренинг_СВ[[#This Row],[опыт]]+BC145</f>
        <v>7000</v>
      </c>
      <c r="BD146" s="343">
        <v>0.08</v>
      </c>
      <c r="BE146" s="231">
        <f>Таблица_тренинг_СВ[[#This Row],[сила воли2]]+BE145</f>
        <v>0.24</v>
      </c>
    </row>
    <row r="147" spans="1:57" x14ac:dyDescent="0.25">
      <c r="A147" s="124">
        <v>7</v>
      </c>
      <c r="B147" s="125">
        <v>38000</v>
      </c>
      <c r="C147" s="299">
        <f t="shared" si="7"/>
        <v>150000</v>
      </c>
      <c r="D147" s="297"/>
      <c r="E147" s="261">
        <f t="shared" si="8"/>
        <v>0.02</v>
      </c>
      <c r="F147" s="297"/>
      <c r="G147" s="261">
        <f t="shared" si="9"/>
        <v>5.0000000000000001E-3</v>
      </c>
      <c r="H147" s="297"/>
      <c r="I147" s="261">
        <f t="shared" si="10"/>
        <v>0.01</v>
      </c>
      <c r="Q147" s="115">
        <v>7</v>
      </c>
      <c r="R147" s="116">
        <v>37000</v>
      </c>
      <c r="S147" s="146">
        <f>Таблица_навык_ШБ[[#This Row],[опыт]]+S146</f>
        <v>147000</v>
      </c>
      <c r="T147" s="268">
        <v>2</v>
      </c>
      <c r="U147" s="308">
        <f>Таблица_навык_ШБ[[#This Row],[крит уклонение]]+U146</f>
        <v>6</v>
      </c>
      <c r="V147" s="260"/>
      <c r="W147" s="261">
        <f>Таблица_навык_ШБ[[#This Row],[защита]]+W146</f>
        <v>0.04</v>
      </c>
      <c r="AE147" s="115">
        <v>22</v>
      </c>
      <c r="AF147" s="116">
        <v>468000</v>
      </c>
      <c r="AG147" s="146">
        <f>Таблица_навык_метаболизм[[#This Row],[опыт]]+AG146</f>
        <v>2091000</v>
      </c>
      <c r="AH147" s="268">
        <v>2</v>
      </c>
      <c r="AI147" s="308">
        <f>Таблица_навык_метаболизм[[#This Row],[регенерация]]+AI146</f>
        <v>11</v>
      </c>
      <c r="AJ147" s="268"/>
      <c r="AK147" s="308">
        <f>Таблица_навык_метаболизм[[#This Row],[лечение]]+AK146</f>
        <v>7</v>
      </c>
      <c r="AL147" s="260"/>
      <c r="AM147" s="261">
        <f>Таблица_навык_метаболизм[[#This Row],[восст.эффект.]]+AM146</f>
        <v>0.14000000000000001</v>
      </c>
      <c r="AN147" s="3"/>
      <c r="AO147" s="3"/>
      <c r="AQ147" s="110"/>
      <c r="AR147" s="110"/>
      <c r="AS147" s="110"/>
      <c r="AT147" s="110"/>
      <c r="BA147" s="130">
        <v>4</v>
      </c>
      <c r="BB147" s="110">
        <v>5000</v>
      </c>
      <c r="BC147" s="130">
        <f>Таблица_тренинг_СВ[[#This Row],[опыт]]+BC146</f>
        <v>12000</v>
      </c>
      <c r="BD147" s="184">
        <v>0.08</v>
      </c>
      <c r="BE147" s="231">
        <f>Таблица_тренинг_СВ[[#This Row],[сила воли2]]+BE146</f>
        <v>0.32</v>
      </c>
    </row>
    <row r="148" spans="1:57" x14ac:dyDescent="0.25">
      <c r="A148" s="124">
        <v>8</v>
      </c>
      <c r="B148" s="125">
        <v>44000</v>
      </c>
      <c r="C148" s="299">
        <f t="shared" si="7"/>
        <v>194000</v>
      </c>
      <c r="D148" s="297"/>
      <c r="E148" s="261">
        <f t="shared" si="8"/>
        <v>0.02</v>
      </c>
      <c r="F148" s="297">
        <v>5.0000000000000001E-3</v>
      </c>
      <c r="G148" s="261">
        <f t="shared" si="9"/>
        <v>0.01</v>
      </c>
      <c r="H148" s="297"/>
      <c r="I148" s="261">
        <f t="shared" si="10"/>
        <v>0.01</v>
      </c>
      <c r="Q148" s="115">
        <v>8</v>
      </c>
      <c r="R148" s="116">
        <v>44000</v>
      </c>
      <c r="S148" s="146">
        <f>Таблица_навык_ШБ[[#This Row],[опыт]]+S147</f>
        <v>191000</v>
      </c>
      <c r="T148" s="268"/>
      <c r="U148" s="308">
        <f>Таблица_навык_ШБ[[#This Row],[крит уклонение]]+U147</f>
        <v>6</v>
      </c>
      <c r="V148" s="260">
        <v>0.02</v>
      </c>
      <c r="W148" s="261">
        <f>Таблица_навык_ШБ[[#This Row],[защита]]+W147</f>
        <v>0.06</v>
      </c>
      <c r="AE148" s="115">
        <v>23</v>
      </c>
      <c r="AF148" s="116">
        <v>598000</v>
      </c>
      <c r="AG148" s="146">
        <f>Таблица_навык_метаболизм[[#This Row],[опыт]]+AG147</f>
        <v>2689000</v>
      </c>
      <c r="AH148" s="315"/>
      <c r="AI148" s="308">
        <f>Таблица_навык_метаболизм[[#This Row],[регенерация]]+AI147</f>
        <v>11</v>
      </c>
      <c r="AJ148" s="268">
        <v>1</v>
      </c>
      <c r="AK148" s="308">
        <f>Таблица_навык_метаболизм[[#This Row],[лечение]]+AK147</f>
        <v>8</v>
      </c>
      <c r="AL148" s="260"/>
      <c r="AM148" s="261">
        <f>Таблица_навык_метаболизм[[#This Row],[восст.эффект.]]+AM147</f>
        <v>0.14000000000000001</v>
      </c>
      <c r="AN148" s="3"/>
      <c r="AO148" s="3"/>
      <c r="AQ148" s="130"/>
      <c r="AR148" s="130"/>
      <c r="AS148" s="130"/>
      <c r="AT148" s="130"/>
      <c r="BA148" s="130">
        <v>5</v>
      </c>
      <c r="BB148" s="110">
        <v>7000</v>
      </c>
      <c r="BC148" s="130">
        <f>Таблица_тренинг_СВ[[#This Row],[опыт]]+BC147</f>
        <v>19000</v>
      </c>
      <c r="BD148" s="343">
        <v>0.08</v>
      </c>
      <c r="BE148" s="231">
        <f>Таблица_тренинг_СВ[[#This Row],[сила воли2]]+BE147</f>
        <v>0.4</v>
      </c>
    </row>
    <row r="149" spans="1:57" x14ac:dyDescent="0.25">
      <c r="A149" s="124">
        <v>9</v>
      </c>
      <c r="B149" s="125">
        <v>53000</v>
      </c>
      <c r="C149" s="299">
        <f t="shared" si="7"/>
        <v>247000</v>
      </c>
      <c r="D149" s="297"/>
      <c r="E149" s="261">
        <f t="shared" si="8"/>
        <v>0.02</v>
      </c>
      <c r="F149" s="297"/>
      <c r="G149" s="261">
        <f t="shared" si="9"/>
        <v>0.01</v>
      </c>
      <c r="H149" s="297">
        <v>0.01</v>
      </c>
      <c r="I149" s="261">
        <f t="shared" si="10"/>
        <v>0.02</v>
      </c>
      <c r="Q149" s="115">
        <v>9</v>
      </c>
      <c r="R149" s="116">
        <v>53000</v>
      </c>
      <c r="S149" s="146">
        <f>Таблица_навык_ШБ[[#This Row],[опыт]]+S148</f>
        <v>244000</v>
      </c>
      <c r="T149" s="268">
        <v>2</v>
      </c>
      <c r="U149" s="308">
        <f>Таблица_навык_ШБ[[#This Row],[крит уклонение]]+U148</f>
        <v>8</v>
      </c>
      <c r="V149" s="260"/>
      <c r="W149" s="261">
        <f>Таблица_навык_ШБ[[#This Row],[защита]]+W148</f>
        <v>0.06</v>
      </c>
      <c r="AE149" s="115">
        <v>24</v>
      </c>
      <c r="AF149" s="116">
        <v>762000</v>
      </c>
      <c r="AG149" s="146">
        <f>Таблица_навык_метаболизм[[#This Row],[опыт]]+AG148</f>
        <v>3451000</v>
      </c>
      <c r="AH149" s="268"/>
      <c r="AI149" s="308">
        <f>Таблица_навык_метаболизм[[#This Row],[регенерация]]+AI148</f>
        <v>11</v>
      </c>
      <c r="AJ149" s="268"/>
      <c r="AK149" s="308">
        <f>Таблица_навык_метаболизм[[#This Row],[лечение]]+AK148</f>
        <v>8</v>
      </c>
      <c r="AL149" s="260">
        <v>0.02</v>
      </c>
      <c r="AM149" s="261">
        <f>Таблица_навык_метаболизм[[#This Row],[восст.эффект.]]+AM148</f>
        <v>0.16</v>
      </c>
      <c r="AN149" s="3"/>
      <c r="AO149" s="3"/>
      <c r="AQ149" s="157"/>
      <c r="AR149" s="110"/>
      <c r="AS149" s="110"/>
      <c r="AT149" s="110"/>
      <c r="BA149" s="130">
        <v>6</v>
      </c>
      <c r="BB149" s="110">
        <v>11000</v>
      </c>
      <c r="BC149" s="130">
        <f>Таблица_тренинг_СВ[[#This Row],[опыт]]+BC148</f>
        <v>30000</v>
      </c>
      <c r="BD149" s="184">
        <v>0.08</v>
      </c>
      <c r="BE149" s="231">
        <f>Таблица_тренинг_СВ[[#This Row],[сила воли2]]+BE148</f>
        <v>0.48000000000000004</v>
      </c>
    </row>
    <row r="150" spans="1:57" x14ac:dyDescent="0.25">
      <c r="A150" s="124">
        <v>10</v>
      </c>
      <c r="B150" s="125">
        <v>62000</v>
      </c>
      <c r="C150" s="299">
        <f t="shared" si="7"/>
        <v>309000</v>
      </c>
      <c r="D150" s="297"/>
      <c r="E150" s="261">
        <f t="shared" si="8"/>
        <v>0.02</v>
      </c>
      <c r="F150" s="297"/>
      <c r="G150" s="261">
        <f t="shared" si="9"/>
        <v>0.01</v>
      </c>
      <c r="H150" s="297"/>
      <c r="I150" s="261">
        <f t="shared" si="10"/>
        <v>0.02</v>
      </c>
      <c r="Q150" s="115">
        <v>10</v>
      </c>
      <c r="R150" s="116">
        <v>63000</v>
      </c>
      <c r="S150" s="146">
        <f>Таблица_навык_ШБ[[#This Row],[опыт]]+S149</f>
        <v>307000</v>
      </c>
      <c r="T150" s="268"/>
      <c r="U150" s="308">
        <f>Таблица_навык_ШБ[[#This Row],[крит уклонение]]+U149</f>
        <v>8</v>
      </c>
      <c r="V150" s="260"/>
      <c r="W150" s="261">
        <f>Таблица_навык_ШБ[[#This Row],[защита]]+W149</f>
        <v>0.06</v>
      </c>
      <c r="AE150" s="115">
        <v>25</v>
      </c>
      <c r="AF150" s="116">
        <v>970000</v>
      </c>
      <c r="AG150" s="146">
        <f>Таблица_навык_метаболизм[[#This Row],[опыт]]+AG149</f>
        <v>4421000</v>
      </c>
      <c r="AH150" s="315">
        <v>2</v>
      </c>
      <c r="AI150" s="308">
        <f>Таблица_навык_метаболизм[[#This Row],[регенерация]]+AI149</f>
        <v>13</v>
      </c>
      <c r="AJ150" s="268"/>
      <c r="AK150" s="308">
        <f>Таблица_навык_метаболизм[[#This Row],[лечение]]+AK149</f>
        <v>8</v>
      </c>
      <c r="AL150" s="260"/>
      <c r="AM150" s="261">
        <f>Таблица_навык_метаболизм[[#This Row],[восст.эффект.]]+AM149</f>
        <v>0.16</v>
      </c>
      <c r="AN150" s="3"/>
      <c r="AO150" s="3"/>
      <c r="AQ150" s="158"/>
      <c r="AR150" s="130"/>
      <c r="AS150" s="130"/>
      <c r="AT150" s="130"/>
      <c r="BA150" s="130">
        <v>7</v>
      </c>
      <c r="BB150" s="110">
        <v>16000</v>
      </c>
      <c r="BC150" s="130">
        <f>Таблица_тренинг_СВ[[#This Row],[опыт]]+BC149</f>
        <v>46000</v>
      </c>
      <c r="BD150" s="343">
        <v>0.08</v>
      </c>
      <c r="BE150" s="231">
        <f>Таблица_тренинг_СВ[[#This Row],[сила воли2]]+BE149</f>
        <v>0.56000000000000005</v>
      </c>
    </row>
    <row r="151" spans="1:57" x14ac:dyDescent="0.25">
      <c r="A151" s="124">
        <v>11</v>
      </c>
      <c r="B151" s="125">
        <v>74000</v>
      </c>
      <c r="C151" s="299">
        <f t="shared" si="7"/>
        <v>383000</v>
      </c>
      <c r="D151" s="297">
        <v>0.01</v>
      </c>
      <c r="E151" s="261">
        <f t="shared" si="8"/>
        <v>0.03</v>
      </c>
      <c r="F151" s="297"/>
      <c r="G151" s="261">
        <f t="shared" si="9"/>
        <v>0.01</v>
      </c>
      <c r="H151" s="297"/>
      <c r="I151" s="261">
        <f t="shared" si="10"/>
        <v>0.02</v>
      </c>
      <c r="Q151" s="115">
        <v>11</v>
      </c>
      <c r="R151" s="116">
        <v>74000</v>
      </c>
      <c r="S151" s="146">
        <f>Таблица_навык_ШБ[[#This Row],[опыт]]+S150</f>
        <v>381000</v>
      </c>
      <c r="T151" s="268"/>
      <c r="U151" s="308">
        <f>Таблица_навык_ШБ[[#This Row],[крит уклонение]]+U150</f>
        <v>8</v>
      </c>
      <c r="V151" s="260">
        <v>0.02</v>
      </c>
      <c r="W151" s="261">
        <f>Таблица_навык_ШБ[[#This Row],[защита]]+W150</f>
        <v>0.08</v>
      </c>
      <c r="AE151" s="115">
        <v>26</v>
      </c>
      <c r="AF151" s="116">
        <v>1235000</v>
      </c>
      <c r="AG151" s="146">
        <f>Таблица_навык_метаболизм[[#This Row],[опыт]]+AG150</f>
        <v>5656000</v>
      </c>
      <c r="AH151" s="268"/>
      <c r="AI151" s="308">
        <f>Таблица_навык_метаболизм[[#This Row],[регенерация]]+AI150</f>
        <v>13</v>
      </c>
      <c r="AJ151" s="268">
        <v>1</v>
      </c>
      <c r="AK151" s="308">
        <f>Таблица_навык_метаболизм[[#This Row],[лечение]]+AK150</f>
        <v>9</v>
      </c>
      <c r="AL151" s="260"/>
      <c r="AM151" s="261">
        <f>Таблица_навык_метаболизм[[#This Row],[восст.эффект.]]+AM150</f>
        <v>0.16</v>
      </c>
      <c r="AN151" s="3"/>
      <c r="AO151" s="3"/>
      <c r="AQ151" s="157"/>
      <c r="AR151" s="110"/>
      <c r="AS151" s="110"/>
      <c r="AT151" s="110"/>
      <c r="BA151" s="130">
        <v>8</v>
      </c>
      <c r="BB151" s="110">
        <v>23000</v>
      </c>
      <c r="BC151" s="130">
        <f>Таблица_тренинг_СВ[[#This Row],[опыт]]+BC150</f>
        <v>69000</v>
      </c>
      <c r="BD151" s="184">
        <v>0.08</v>
      </c>
      <c r="BE151" s="231">
        <f>Таблица_тренинг_СВ[[#This Row],[сила воли2]]+BE150</f>
        <v>0.64</v>
      </c>
    </row>
    <row r="152" spans="1:57" x14ac:dyDescent="0.25">
      <c r="A152" s="124">
        <v>12</v>
      </c>
      <c r="B152" s="125">
        <v>86000</v>
      </c>
      <c r="C152" s="299">
        <f t="shared" si="7"/>
        <v>469000</v>
      </c>
      <c r="D152" s="297"/>
      <c r="E152" s="261">
        <f t="shared" si="8"/>
        <v>0.03</v>
      </c>
      <c r="F152" s="297">
        <v>5.0000000000000001E-3</v>
      </c>
      <c r="G152" s="261">
        <f t="shared" si="9"/>
        <v>1.4999999999999999E-2</v>
      </c>
      <c r="H152" s="297"/>
      <c r="I152" s="261">
        <f t="shared" si="10"/>
        <v>0.02</v>
      </c>
      <c r="Q152" s="115">
        <v>12</v>
      </c>
      <c r="R152" s="116">
        <v>88000</v>
      </c>
      <c r="S152" s="146">
        <f>Таблица_навык_ШБ[[#This Row],[опыт]]+S151</f>
        <v>469000</v>
      </c>
      <c r="T152" s="268">
        <v>1</v>
      </c>
      <c r="U152" s="308">
        <f>Таблица_навык_ШБ[[#This Row],[крит уклонение]]+U151</f>
        <v>9</v>
      </c>
      <c r="V152" s="260"/>
      <c r="W152" s="261">
        <f>Таблица_навык_ШБ[[#This Row],[защита]]+W151</f>
        <v>0.08</v>
      </c>
      <c r="AE152" s="115">
        <v>27</v>
      </c>
      <c r="AF152" s="116">
        <v>1568000</v>
      </c>
      <c r="AG152" s="146">
        <f>Таблица_навык_метаболизм[[#This Row],[опыт]]+AG151</f>
        <v>7224000</v>
      </c>
      <c r="AH152" s="315"/>
      <c r="AI152" s="308">
        <f>Таблица_навык_метаболизм[[#This Row],[регенерация]]+AI151</f>
        <v>13</v>
      </c>
      <c r="AJ152" s="268"/>
      <c r="AK152" s="308">
        <f>Таблица_навык_метаболизм[[#This Row],[лечение]]+AK151</f>
        <v>9</v>
      </c>
      <c r="AL152" s="260">
        <v>0.02</v>
      </c>
      <c r="AM152" s="261">
        <f>Таблица_навык_метаболизм[[#This Row],[восст.эффект.]]+AM151</f>
        <v>0.18</v>
      </c>
      <c r="AN152" s="3"/>
      <c r="AO152" s="3"/>
      <c r="AQ152" s="158"/>
      <c r="AR152" s="130"/>
      <c r="AS152" s="130"/>
      <c r="AT152" s="130"/>
      <c r="BA152" s="130">
        <v>9</v>
      </c>
      <c r="BB152" s="110">
        <v>33000</v>
      </c>
      <c r="BC152" s="130">
        <f>Таблица_тренинг_СВ[[#This Row],[опыт]]+BC151</f>
        <v>102000</v>
      </c>
      <c r="BD152" s="343">
        <v>0.08</v>
      </c>
      <c r="BE152" s="231">
        <f>Таблица_тренинг_СВ[[#This Row],[сила воли2]]+BE151</f>
        <v>0.72</v>
      </c>
    </row>
    <row r="153" spans="1:57" x14ac:dyDescent="0.25">
      <c r="A153" s="124">
        <v>13</v>
      </c>
      <c r="B153" s="125">
        <v>102000</v>
      </c>
      <c r="C153" s="299">
        <f t="shared" si="7"/>
        <v>571000</v>
      </c>
      <c r="D153" s="297"/>
      <c r="E153" s="261">
        <f t="shared" si="8"/>
        <v>0.03</v>
      </c>
      <c r="F153" s="297"/>
      <c r="G153" s="261">
        <f t="shared" si="9"/>
        <v>1.4999999999999999E-2</v>
      </c>
      <c r="H153" s="297">
        <v>0.01</v>
      </c>
      <c r="I153" s="261">
        <f t="shared" si="10"/>
        <v>0.03</v>
      </c>
      <c r="Q153" s="115">
        <v>13</v>
      </c>
      <c r="R153" s="116">
        <v>103000</v>
      </c>
      <c r="S153" s="146">
        <f>Таблица_навык_ШБ[[#This Row],[опыт]]+S152</f>
        <v>572000</v>
      </c>
      <c r="T153" s="268"/>
      <c r="U153" s="308">
        <f>Таблица_навык_ШБ[[#This Row],[крит уклонение]]+U152</f>
        <v>9</v>
      </c>
      <c r="V153" s="260">
        <v>0.01</v>
      </c>
      <c r="W153" s="261">
        <f>Таблица_навык_ШБ[[#This Row],[защита]]+W152</f>
        <v>0.09</v>
      </c>
      <c r="AE153" s="115">
        <v>28</v>
      </c>
      <c r="AF153" s="116">
        <v>1991000</v>
      </c>
      <c r="AG153" s="146">
        <f>Таблица_навык_метаболизм[[#This Row],[опыт]]+AG152</f>
        <v>9215000</v>
      </c>
      <c r="AH153" s="268">
        <v>2</v>
      </c>
      <c r="AI153" s="308">
        <f>Таблица_навык_метаболизм[[#This Row],[регенерация]]+AI152</f>
        <v>15</v>
      </c>
      <c r="AJ153" s="268"/>
      <c r="AK153" s="308">
        <f>Таблица_навык_метаболизм[[#This Row],[лечение]]+AK152</f>
        <v>9</v>
      </c>
      <c r="AL153" s="260"/>
      <c r="AM153" s="261">
        <f>Таблица_навык_метаболизм[[#This Row],[восст.эффект.]]+AM152</f>
        <v>0.18</v>
      </c>
      <c r="AN153" s="3"/>
      <c r="AO153" s="3"/>
      <c r="AQ153" s="157"/>
      <c r="AR153" s="110"/>
      <c r="AS153" s="110"/>
      <c r="AT153" s="110"/>
      <c r="BA153" s="130">
        <v>10</v>
      </c>
      <c r="BB153" s="110">
        <v>47000</v>
      </c>
      <c r="BC153" s="130">
        <f>Таблица_тренинг_СВ[[#This Row],[опыт]]+BC152</f>
        <v>149000</v>
      </c>
      <c r="BD153" s="184">
        <v>0.08</v>
      </c>
      <c r="BE153" s="231">
        <f>Таблица_тренинг_СВ[[#This Row],[сила воли2]]+BE152</f>
        <v>0.79999999999999993</v>
      </c>
    </row>
    <row r="154" spans="1:57" x14ac:dyDescent="0.25">
      <c r="A154" s="124">
        <v>14</v>
      </c>
      <c r="B154" s="125">
        <v>119000</v>
      </c>
      <c r="C154" s="299">
        <f t="shared" si="7"/>
        <v>690000</v>
      </c>
      <c r="D154" s="297"/>
      <c r="E154" s="261">
        <f t="shared" si="8"/>
        <v>0.03</v>
      </c>
      <c r="F154" s="297"/>
      <c r="G154" s="261">
        <f t="shared" si="9"/>
        <v>1.4999999999999999E-2</v>
      </c>
      <c r="H154" s="297"/>
      <c r="I154" s="261">
        <f t="shared" si="10"/>
        <v>0.03</v>
      </c>
      <c r="Q154" s="115">
        <v>14</v>
      </c>
      <c r="R154" s="116">
        <v>122000</v>
      </c>
      <c r="S154" s="146">
        <f>Таблица_навык_ШБ[[#This Row],[опыт]]+S153</f>
        <v>694000</v>
      </c>
      <c r="T154" s="268"/>
      <c r="U154" s="308">
        <f>Таблица_навык_ШБ[[#This Row],[крит уклонение]]+U153</f>
        <v>9</v>
      </c>
      <c r="V154" s="260"/>
      <c r="W154" s="261">
        <f>Таблица_навык_ШБ[[#This Row],[защита]]+W153</f>
        <v>0.09</v>
      </c>
      <c r="AE154" s="115">
        <v>29</v>
      </c>
      <c r="AF154" s="116">
        <v>2524000</v>
      </c>
      <c r="AG154" s="146">
        <f>Таблица_навык_метаболизм[[#This Row],[опыт]]+AG153</f>
        <v>11739000</v>
      </c>
      <c r="AH154" s="268"/>
      <c r="AI154" s="308">
        <f>Таблица_навык_метаболизм[[#This Row],[регенерация]]+AI153</f>
        <v>15</v>
      </c>
      <c r="AJ154" s="268">
        <v>1</v>
      </c>
      <c r="AK154" s="308">
        <f>Таблица_навык_метаболизм[[#This Row],[лечение]]+AK153</f>
        <v>10</v>
      </c>
      <c r="AL154" s="260"/>
      <c r="AM154" s="261">
        <f>Таблица_навык_метаболизм[[#This Row],[восст.эффект.]]+AM153</f>
        <v>0.18</v>
      </c>
      <c r="AN154" s="3"/>
      <c r="AO154" s="3"/>
      <c r="AQ154" s="130"/>
      <c r="AR154" s="130"/>
      <c r="AS154" s="130"/>
      <c r="AT154" s="130"/>
      <c r="BA154" s="130">
        <v>11</v>
      </c>
      <c r="BB154" s="110">
        <v>65000</v>
      </c>
      <c r="BC154" s="130">
        <f>Таблица_тренинг_СВ[[#This Row],[опыт]]+BC153</f>
        <v>214000</v>
      </c>
      <c r="BD154" s="343">
        <v>0.08</v>
      </c>
      <c r="BE154" s="231">
        <f>Таблица_тренинг_СВ[[#This Row],[сила воли2]]+BE153</f>
        <v>0.87999999999999989</v>
      </c>
    </row>
    <row r="155" spans="1:57" ht="16.5" thickBot="1" x14ac:dyDescent="0.3">
      <c r="A155" s="124">
        <v>15</v>
      </c>
      <c r="B155" s="125">
        <v>139000</v>
      </c>
      <c r="C155" s="299">
        <f t="shared" si="7"/>
        <v>829000</v>
      </c>
      <c r="D155" s="297">
        <v>0.01</v>
      </c>
      <c r="E155" s="261">
        <f t="shared" si="8"/>
        <v>0.04</v>
      </c>
      <c r="F155" s="297"/>
      <c r="G155" s="261">
        <f t="shared" si="9"/>
        <v>1.4999999999999999E-2</v>
      </c>
      <c r="H155" s="297"/>
      <c r="I155" s="261">
        <f t="shared" si="10"/>
        <v>0.03</v>
      </c>
      <c r="Q155" s="115">
        <v>15</v>
      </c>
      <c r="R155" s="116">
        <v>143000</v>
      </c>
      <c r="S155" s="146">
        <f>Таблица_навык_ШБ[[#This Row],[опыт]]+S154</f>
        <v>837000</v>
      </c>
      <c r="T155" s="268">
        <v>1</v>
      </c>
      <c r="U155" s="308">
        <f>Таблица_навык_ШБ[[#This Row],[крит уклонение]]+U154</f>
        <v>10</v>
      </c>
      <c r="V155" s="260"/>
      <c r="W155" s="261">
        <f>Таблица_навык_ШБ[[#This Row],[защита]]+W154</f>
        <v>0.09</v>
      </c>
      <c r="AE155" s="118">
        <v>30</v>
      </c>
      <c r="AF155" s="119">
        <v>3198000</v>
      </c>
      <c r="AG155" s="274">
        <f>Таблица_навык_метаболизм[[#This Row],[опыт]]+AG154</f>
        <v>14937000</v>
      </c>
      <c r="AH155" s="311"/>
      <c r="AI155" s="310">
        <f>Таблица_навык_метаболизм[[#This Row],[регенерация]]+AI154</f>
        <v>15</v>
      </c>
      <c r="AJ155" s="311"/>
      <c r="AK155" s="310">
        <f>Таблица_навык_метаболизм[[#This Row],[лечение]]+AK154</f>
        <v>10</v>
      </c>
      <c r="AL155" s="266">
        <v>0.02</v>
      </c>
      <c r="AM155" s="264">
        <f>Таблица_навык_метаболизм[[#This Row],[восст.эффект.]]+AM154</f>
        <v>0.19999999999999998</v>
      </c>
      <c r="AQ155" s="110"/>
      <c r="AR155" s="110"/>
      <c r="AS155" s="110"/>
      <c r="AT155" s="110"/>
      <c r="BA155" s="130">
        <v>12</v>
      </c>
      <c r="BB155" s="110">
        <v>93000</v>
      </c>
      <c r="BC155" s="130">
        <f>Таблица_тренинг_СВ[[#This Row],[опыт]]+BC154</f>
        <v>307000</v>
      </c>
      <c r="BD155" s="184">
        <v>0.08</v>
      </c>
      <c r="BE155" s="231">
        <f>Таблица_тренинг_СВ[[#This Row],[сила воли2]]+BE154</f>
        <v>0.95999999999999985</v>
      </c>
    </row>
    <row r="156" spans="1:57" x14ac:dyDescent="0.25">
      <c r="A156" s="124">
        <v>16</v>
      </c>
      <c r="B156" s="125">
        <v>162000</v>
      </c>
      <c r="C156" s="299">
        <f t="shared" si="7"/>
        <v>991000</v>
      </c>
      <c r="D156" s="297"/>
      <c r="E156" s="261">
        <f t="shared" si="8"/>
        <v>0.04</v>
      </c>
      <c r="F156" s="297">
        <v>5.0000000000000001E-3</v>
      </c>
      <c r="G156" s="261">
        <f t="shared" si="9"/>
        <v>0.02</v>
      </c>
      <c r="H156" s="297"/>
      <c r="I156" s="261">
        <f t="shared" si="10"/>
        <v>0.03</v>
      </c>
      <c r="Q156" s="115">
        <v>16</v>
      </c>
      <c r="R156" s="116">
        <v>167000</v>
      </c>
      <c r="S156" s="146">
        <f>Таблица_навык_ШБ[[#This Row],[опыт]]+S155</f>
        <v>1004000</v>
      </c>
      <c r="T156" s="268"/>
      <c r="U156" s="308">
        <f>Таблица_навык_ШБ[[#This Row],[крит уклонение]]+U155</f>
        <v>10</v>
      </c>
      <c r="V156" s="260">
        <v>0.01</v>
      </c>
      <c r="W156" s="261">
        <f>Таблица_навык_ШБ[[#This Row],[защита]]+W155</f>
        <v>9.9999999999999992E-2</v>
      </c>
      <c r="AQ156" s="130"/>
      <c r="AR156" s="130"/>
      <c r="AS156" s="130"/>
      <c r="AT156" s="130"/>
      <c r="BA156" s="130">
        <v>13</v>
      </c>
      <c r="BB156" s="110">
        <v>128000</v>
      </c>
      <c r="BC156" s="130">
        <f>Таблица_тренинг_СВ[[#This Row],[опыт]]+BC155</f>
        <v>435000</v>
      </c>
      <c r="BD156" s="343">
        <v>0.08</v>
      </c>
      <c r="BE156" s="231">
        <f>Таблица_тренинг_СВ[[#This Row],[сила воли2]]+BE155</f>
        <v>1.0399999999999998</v>
      </c>
    </row>
    <row r="157" spans="1:57" x14ac:dyDescent="0.25">
      <c r="A157" s="124">
        <v>17</v>
      </c>
      <c r="B157" s="125">
        <v>189000</v>
      </c>
      <c r="C157" s="299">
        <f t="shared" si="7"/>
        <v>1180000</v>
      </c>
      <c r="D157" s="297"/>
      <c r="E157" s="261">
        <f t="shared" si="8"/>
        <v>0.04</v>
      </c>
      <c r="F157" s="297"/>
      <c r="G157" s="261">
        <f t="shared" si="9"/>
        <v>0.02</v>
      </c>
      <c r="H157" s="297"/>
      <c r="I157" s="261">
        <f t="shared" si="10"/>
        <v>0.03</v>
      </c>
      <c r="Q157" s="115">
        <v>17</v>
      </c>
      <c r="R157" s="116">
        <v>196000</v>
      </c>
      <c r="S157" s="146">
        <f>Таблица_навык_ШБ[[#This Row],[опыт]]+S156</f>
        <v>1200000</v>
      </c>
      <c r="T157" s="268">
        <v>1</v>
      </c>
      <c r="U157" s="308">
        <f>Таблица_навык_ШБ[[#This Row],[крит уклонение]]+U156</f>
        <v>11</v>
      </c>
      <c r="V157" s="260"/>
      <c r="W157" s="261">
        <f>Таблица_навык_ШБ[[#This Row],[защита]]+W156</f>
        <v>9.9999999999999992E-2</v>
      </c>
      <c r="AQ157" s="110"/>
      <c r="AR157" s="110"/>
      <c r="AS157" s="110"/>
      <c r="AT157" s="110"/>
      <c r="BA157" s="130">
        <v>14</v>
      </c>
      <c r="BB157" s="110">
        <v>179000</v>
      </c>
      <c r="BC157" s="130">
        <f>Таблица_тренинг_СВ[[#This Row],[опыт]]+BC156</f>
        <v>614000</v>
      </c>
      <c r="BD157" s="184">
        <v>0.08</v>
      </c>
      <c r="BE157" s="231">
        <f>Таблица_тренинг_СВ[[#This Row],[сила воли2]]+BE156</f>
        <v>1.1199999999999999</v>
      </c>
    </row>
    <row r="158" spans="1:57" x14ac:dyDescent="0.25">
      <c r="A158" s="124">
        <v>18</v>
      </c>
      <c r="B158" s="125">
        <v>220000</v>
      </c>
      <c r="C158" s="299">
        <f t="shared" si="7"/>
        <v>1400000</v>
      </c>
      <c r="D158" s="297"/>
      <c r="E158" s="261">
        <f t="shared" si="8"/>
        <v>0.04</v>
      </c>
      <c r="F158" s="297"/>
      <c r="G158" s="261">
        <f t="shared" si="9"/>
        <v>0.02</v>
      </c>
      <c r="H158" s="297">
        <v>0.01</v>
      </c>
      <c r="I158" s="261">
        <f t="shared" si="10"/>
        <v>0.04</v>
      </c>
      <c r="Q158" s="115">
        <v>18</v>
      </c>
      <c r="R158" s="116">
        <v>228000</v>
      </c>
      <c r="S158" s="146">
        <f>Таблица_навык_ШБ[[#This Row],[опыт]]+S157</f>
        <v>1428000</v>
      </c>
      <c r="T158" s="268"/>
      <c r="U158" s="308">
        <f>Таблица_навык_ШБ[[#This Row],[крит уклонение]]+U157</f>
        <v>11</v>
      </c>
      <c r="V158" s="260"/>
      <c r="W158" s="261">
        <f>Таблица_навык_ШБ[[#This Row],[защита]]+W157</f>
        <v>9.9999999999999992E-2</v>
      </c>
      <c r="AQ158" s="130"/>
      <c r="AR158" s="130"/>
      <c r="AS158" s="130"/>
      <c r="AT158" s="130"/>
      <c r="BA158" s="130">
        <v>15</v>
      </c>
      <c r="BB158" s="110">
        <v>250000</v>
      </c>
      <c r="BC158" s="130">
        <f>Таблица_тренинг_СВ[[#This Row],[опыт]]+BC157</f>
        <v>864000</v>
      </c>
      <c r="BD158" s="343">
        <v>0.08</v>
      </c>
      <c r="BE158" s="231">
        <f>Таблица_тренинг_СВ[[#This Row],[сила воли2]]+BE157</f>
        <v>1.2</v>
      </c>
    </row>
    <row r="159" spans="1:57" x14ac:dyDescent="0.25">
      <c r="A159" s="124">
        <v>19</v>
      </c>
      <c r="B159" s="125">
        <v>255000</v>
      </c>
      <c r="C159" s="299">
        <f t="shared" si="7"/>
        <v>1655000</v>
      </c>
      <c r="D159" s="297"/>
      <c r="E159" s="261">
        <f t="shared" si="8"/>
        <v>0.04</v>
      </c>
      <c r="F159" s="297"/>
      <c r="G159" s="261">
        <f t="shared" si="9"/>
        <v>0.02</v>
      </c>
      <c r="H159" s="297"/>
      <c r="I159" s="261">
        <f t="shared" si="10"/>
        <v>0.04</v>
      </c>
      <c r="Q159" s="115">
        <v>19</v>
      </c>
      <c r="R159" s="116">
        <v>266000</v>
      </c>
      <c r="S159" s="146">
        <f>Таблица_навык_ШБ[[#This Row],[опыт]]+S158</f>
        <v>1694000</v>
      </c>
      <c r="T159" s="268"/>
      <c r="U159" s="308">
        <f>Таблица_навык_ШБ[[#This Row],[крит уклонение]]+U158</f>
        <v>11</v>
      </c>
      <c r="V159" s="260">
        <v>0.01</v>
      </c>
      <c r="W159" s="261">
        <f>Таблица_навык_ШБ[[#This Row],[защита]]+W158</f>
        <v>0.10999999999999999</v>
      </c>
      <c r="AQ159" s="110"/>
      <c r="AR159" s="110"/>
      <c r="AS159" s="110"/>
      <c r="AT159" s="110"/>
      <c r="BA159" s="130">
        <v>16</v>
      </c>
      <c r="BB159" s="110">
        <v>340000</v>
      </c>
      <c r="BC159" s="130">
        <f>Таблица_тренинг_СВ[[#This Row],[опыт]]+BC158</f>
        <v>1204000</v>
      </c>
      <c r="BD159" s="184">
        <v>0.08</v>
      </c>
      <c r="BE159" s="231">
        <f>Таблица_тренинг_СВ[[#This Row],[сила воли2]]+BE158</f>
        <v>1.28</v>
      </c>
    </row>
    <row r="160" spans="1:57" x14ac:dyDescent="0.25">
      <c r="A160" s="124">
        <v>20</v>
      </c>
      <c r="B160" s="125">
        <v>295000</v>
      </c>
      <c r="C160" s="299">
        <f t="shared" si="7"/>
        <v>1950000</v>
      </c>
      <c r="D160" s="297">
        <v>0.01</v>
      </c>
      <c r="E160" s="261">
        <f t="shared" si="8"/>
        <v>0.05</v>
      </c>
      <c r="F160" s="297"/>
      <c r="G160" s="261">
        <f t="shared" si="9"/>
        <v>0.02</v>
      </c>
      <c r="H160" s="297"/>
      <c r="I160" s="261">
        <f t="shared" si="10"/>
        <v>0.04</v>
      </c>
      <c r="Q160" s="115">
        <v>20</v>
      </c>
      <c r="R160" s="116">
        <v>310000</v>
      </c>
      <c r="S160" s="146">
        <f>Таблица_навык_ШБ[[#This Row],[опыт]]+S159</f>
        <v>2004000</v>
      </c>
      <c r="T160" s="268">
        <v>1</v>
      </c>
      <c r="U160" s="308">
        <f>Таблица_навык_ШБ[[#This Row],[крит уклонение]]+U159</f>
        <v>12</v>
      </c>
      <c r="V160" s="260"/>
      <c r="W160" s="261">
        <f>Таблица_навык_ШБ[[#This Row],[защита]]+W159</f>
        <v>0.10999999999999999</v>
      </c>
      <c r="AQ160" s="130"/>
      <c r="AR160" s="130"/>
      <c r="AS160" s="130"/>
      <c r="AT160" s="130"/>
      <c r="BA160" s="130">
        <v>17</v>
      </c>
      <c r="BB160" s="110">
        <v>471000</v>
      </c>
      <c r="BC160" s="130">
        <f>Таблица_тренинг_СВ[[#This Row],[опыт]]+BC159</f>
        <v>1675000</v>
      </c>
      <c r="BD160" s="343">
        <v>0.08</v>
      </c>
      <c r="BE160" s="231">
        <f>Таблица_тренинг_СВ[[#This Row],[сила воли2]]+BE159</f>
        <v>1.36</v>
      </c>
    </row>
    <row r="161" spans="1:57" x14ac:dyDescent="0.25">
      <c r="A161" s="124">
        <v>21</v>
      </c>
      <c r="B161" s="125">
        <v>343000</v>
      </c>
      <c r="C161" s="299">
        <f t="shared" si="7"/>
        <v>2293000</v>
      </c>
      <c r="D161" s="297"/>
      <c r="E161" s="261">
        <f t="shared" si="8"/>
        <v>0.05</v>
      </c>
      <c r="F161" s="297"/>
      <c r="G161" s="261">
        <f t="shared" si="9"/>
        <v>0.02</v>
      </c>
      <c r="H161" s="297"/>
      <c r="I161" s="261">
        <f t="shared" si="10"/>
        <v>0.04</v>
      </c>
      <c r="Q161" s="115">
        <v>21</v>
      </c>
      <c r="R161" s="116">
        <v>361000</v>
      </c>
      <c r="S161" s="146">
        <f>Таблица_навык_ШБ[[#This Row],[опыт]]+S160</f>
        <v>2365000</v>
      </c>
      <c r="T161" s="268"/>
      <c r="U161" s="308">
        <f>Таблица_навык_ШБ[[#This Row],[крит уклонение]]+U160</f>
        <v>12</v>
      </c>
      <c r="V161" s="260">
        <v>0.01</v>
      </c>
      <c r="W161" s="261">
        <f>Таблица_навык_ШБ[[#This Row],[защита]]+W160</f>
        <v>0.11999999999999998</v>
      </c>
      <c r="AQ161" s="110"/>
      <c r="AR161" s="110"/>
      <c r="AS161" s="110"/>
      <c r="AT161" s="110"/>
      <c r="BA161" s="130">
        <v>18</v>
      </c>
      <c r="BB161" s="110">
        <v>649000</v>
      </c>
      <c r="BC161" s="130">
        <f>Таблица_тренинг_СВ[[#This Row],[опыт]]+BC160</f>
        <v>2324000</v>
      </c>
      <c r="BD161" s="184">
        <v>0.08</v>
      </c>
      <c r="BE161" s="231">
        <f>Таблица_тренинг_СВ[[#This Row],[сила воли2]]+BE160</f>
        <v>1.4400000000000002</v>
      </c>
    </row>
    <row r="162" spans="1:57" x14ac:dyDescent="0.25">
      <c r="A162" s="124">
        <v>22</v>
      </c>
      <c r="B162" s="125">
        <v>396000</v>
      </c>
      <c r="C162" s="299">
        <f t="shared" si="7"/>
        <v>2689000</v>
      </c>
      <c r="D162" s="297"/>
      <c r="E162" s="261">
        <f t="shared" si="8"/>
        <v>0.05</v>
      </c>
      <c r="F162" s="297">
        <v>5.0000000000000001E-3</v>
      </c>
      <c r="G162" s="261">
        <f t="shared" si="9"/>
        <v>2.5000000000000001E-2</v>
      </c>
      <c r="H162" s="297"/>
      <c r="I162" s="261">
        <f t="shared" si="10"/>
        <v>0.04</v>
      </c>
      <c r="Q162" s="115">
        <v>22</v>
      </c>
      <c r="R162" s="116">
        <v>418000</v>
      </c>
      <c r="S162" s="146">
        <f>Таблица_навык_ШБ[[#This Row],[опыт]]+S161</f>
        <v>2783000</v>
      </c>
      <c r="T162" s="268"/>
      <c r="U162" s="308">
        <f>Таблица_навык_ШБ[[#This Row],[крит уклонение]]+U161</f>
        <v>12</v>
      </c>
      <c r="V162" s="260"/>
      <c r="W162" s="261">
        <f>Таблица_навык_ШБ[[#This Row],[защита]]+W161</f>
        <v>0.11999999999999998</v>
      </c>
      <c r="AQ162" s="130"/>
      <c r="AR162" s="130"/>
      <c r="AS162" s="130"/>
      <c r="AT162" s="130"/>
      <c r="BA162" s="130">
        <v>19</v>
      </c>
      <c r="BB162" s="110">
        <v>889000</v>
      </c>
      <c r="BC162" s="130">
        <f>Таблица_тренинг_СВ[[#This Row],[опыт]]+BC161</f>
        <v>3213000</v>
      </c>
      <c r="BD162" s="343">
        <v>0.08</v>
      </c>
      <c r="BE162" s="231">
        <f>Таблица_тренинг_СВ[[#This Row],[сила воли2]]+BE161</f>
        <v>1.5200000000000002</v>
      </c>
    </row>
    <row r="163" spans="1:57" x14ac:dyDescent="0.25">
      <c r="A163" s="124">
        <v>23</v>
      </c>
      <c r="B163" s="125">
        <v>457000</v>
      </c>
      <c r="C163" s="299">
        <f t="shared" si="7"/>
        <v>3146000</v>
      </c>
      <c r="D163" s="297"/>
      <c r="E163" s="261">
        <f t="shared" si="8"/>
        <v>0.05</v>
      </c>
      <c r="F163" s="297"/>
      <c r="G163" s="261">
        <f t="shared" si="9"/>
        <v>2.5000000000000001E-2</v>
      </c>
      <c r="H163" s="297"/>
      <c r="I163" s="261">
        <f t="shared" si="10"/>
        <v>0.04</v>
      </c>
      <c r="Q163" s="115">
        <v>23</v>
      </c>
      <c r="R163" s="116">
        <v>485000</v>
      </c>
      <c r="S163" s="146">
        <f>Таблица_навык_ШБ[[#This Row],[опыт]]+S162</f>
        <v>3268000</v>
      </c>
      <c r="T163" s="268">
        <v>1</v>
      </c>
      <c r="U163" s="308">
        <f>Таблица_навык_ШБ[[#This Row],[крит уклонение]]+U162</f>
        <v>13</v>
      </c>
      <c r="V163" s="260"/>
      <c r="W163" s="261">
        <f>Таблица_навык_ШБ[[#This Row],[защита]]+W162</f>
        <v>0.11999999999999998</v>
      </c>
      <c r="AQ163" s="110"/>
      <c r="AR163" s="110"/>
      <c r="AS163" s="110"/>
      <c r="AT163" s="110"/>
      <c r="BA163" s="130">
        <v>20</v>
      </c>
      <c r="BB163" s="110">
        <v>1218000</v>
      </c>
      <c r="BC163" s="130">
        <f>Таблица_тренинг_СВ[[#This Row],[опыт]]+BC162</f>
        <v>4431000</v>
      </c>
      <c r="BD163" s="184">
        <v>0.08</v>
      </c>
      <c r="BE163" s="231">
        <f>Таблица_тренинг_СВ[[#This Row],[сила воли2]]+BE162</f>
        <v>1.6000000000000003</v>
      </c>
    </row>
    <row r="164" spans="1:57" x14ac:dyDescent="0.25">
      <c r="A164" s="124">
        <v>24</v>
      </c>
      <c r="B164" s="125">
        <v>528000</v>
      </c>
      <c r="C164" s="299">
        <f t="shared" si="7"/>
        <v>3674000</v>
      </c>
      <c r="D164" s="297"/>
      <c r="E164" s="261">
        <f t="shared" si="8"/>
        <v>0.05</v>
      </c>
      <c r="F164" s="297"/>
      <c r="G164" s="261">
        <f t="shared" si="9"/>
        <v>2.5000000000000001E-2</v>
      </c>
      <c r="H164" s="297">
        <v>0.01</v>
      </c>
      <c r="I164" s="261">
        <f t="shared" si="10"/>
        <v>0.05</v>
      </c>
      <c r="Q164" s="115">
        <v>24</v>
      </c>
      <c r="R164" s="116">
        <v>562000</v>
      </c>
      <c r="S164" s="146">
        <f>Таблица_навык_ШБ[[#This Row],[опыт]]+S163</f>
        <v>3830000</v>
      </c>
      <c r="T164" s="268"/>
      <c r="U164" s="308">
        <f>Таблица_навык_ШБ[[#This Row],[крит уклонение]]+U163</f>
        <v>13</v>
      </c>
      <c r="V164" s="260">
        <v>0.01</v>
      </c>
      <c r="W164" s="261">
        <f>Таблица_навык_ШБ[[#This Row],[защита]]+W163</f>
        <v>0.12999999999999998</v>
      </c>
      <c r="AQ164" s="130"/>
      <c r="AR164" s="130"/>
      <c r="AS164" s="130"/>
      <c r="AT164" s="130"/>
      <c r="BA164" s="130">
        <v>21</v>
      </c>
      <c r="BB164" s="110">
        <v>1663000</v>
      </c>
      <c r="BC164" s="130">
        <f>Таблица_тренинг_СВ[[#This Row],[опыт]]+BC163</f>
        <v>6094000</v>
      </c>
      <c r="BD164" s="343">
        <v>0.08</v>
      </c>
      <c r="BE164" s="231">
        <f>Таблица_тренинг_СВ[[#This Row],[сила воли2]]+BE163</f>
        <v>1.6800000000000004</v>
      </c>
    </row>
    <row r="165" spans="1:57" x14ac:dyDescent="0.25">
      <c r="A165" s="124">
        <v>25</v>
      </c>
      <c r="B165" s="125">
        <v>610000</v>
      </c>
      <c r="C165" s="299">
        <f t="shared" si="7"/>
        <v>4284000</v>
      </c>
      <c r="D165" s="297"/>
      <c r="E165" s="261">
        <f t="shared" si="8"/>
        <v>0.05</v>
      </c>
      <c r="F165" s="297"/>
      <c r="G165" s="261">
        <f t="shared" si="9"/>
        <v>2.5000000000000001E-2</v>
      </c>
      <c r="H165" s="297"/>
      <c r="I165" s="261">
        <f t="shared" si="10"/>
        <v>0.05</v>
      </c>
      <c r="Q165" s="115">
        <v>25</v>
      </c>
      <c r="R165" s="116">
        <v>651000</v>
      </c>
      <c r="S165" s="146">
        <f>Таблица_навык_ШБ[[#This Row],[опыт]]+S164</f>
        <v>4481000</v>
      </c>
      <c r="T165" s="268">
        <v>1</v>
      </c>
      <c r="U165" s="308">
        <f>Таблица_навык_ШБ[[#This Row],[крит уклонение]]+U164</f>
        <v>14</v>
      </c>
      <c r="V165" s="260"/>
      <c r="W165" s="261">
        <f>Таблица_навык_ШБ[[#This Row],[защита]]+W164</f>
        <v>0.12999999999999998</v>
      </c>
      <c r="AQ165" s="110"/>
      <c r="AR165" s="110"/>
      <c r="AS165" s="110"/>
      <c r="AT165" s="110"/>
      <c r="BA165" s="130">
        <v>22</v>
      </c>
      <c r="BB165" s="110">
        <v>2270000</v>
      </c>
      <c r="BC165" s="130">
        <f>Таблица_тренинг_СВ[[#This Row],[опыт]]+BC164</f>
        <v>8364000</v>
      </c>
      <c r="BD165" s="184">
        <v>0.08</v>
      </c>
      <c r="BE165" s="231">
        <f>Таблица_тренинг_СВ[[#This Row],[сила воли2]]+BE164</f>
        <v>1.7600000000000005</v>
      </c>
    </row>
    <row r="166" spans="1:57" x14ac:dyDescent="0.25">
      <c r="A166" s="124">
        <v>26</v>
      </c>
      <c r="B166" s="125">
        <v>701000</v>
      </c>
      <c r="C166" s="299">
        <f t="shared" si="7"/>
        <v>4985000</v>
      </c>
      <c r="D166" s="297">
        <v>0.01</v>
      </c>
      <c r="E166" s="261">
        <f t="shared" si="8"/>
        <v>6.0000000000000005E-2</v>
      </c>
      <c r="F166" s="297"/>
      <c r="G166" s="261">
        <f t="shared" si="9"/>
        <v>2.5000000000000001E-2</v>
      </c>
      <c r="H166" s="297"/>
      <c r="I166" s="261">
        <f t="shared" si="10"/>
        <v>0.05</v>
      </c>
      <c r="Q166" s="115">
        <v>26</v>
      </c>
      <c r="R166" s="116">
        <v>753000</v>
      </c>
      <c r="S166" s="146">
        <f>Таблица_навык_ШБ[[#This Row],[опыт]]+S165</f>
        <v>5234000</v>
      </c>
      <c r="T166" s="268"/>
      <c r="U166" s="308">
        <f>Таблица_навык_ШБ[[#This Row],[крит уклонение]]+U165</f>
        <v>14</v>
      </c>
      <c r="V166" s="260">
        <v>0.01</v>
      </c>
      <c r="W166" s="261">
        <f>Таблица_навык_ШБ[[#This Row],[защита]]+W165</f>
        <v>0.13999999999999999</v>
      </c>
      <c r="AQ166" s="130"/>
      <c r="AR166" s="130"/>
      <c r="AS166" s="130"/>
      <c r="AT166" s="130"/>
      <c r="BA166" s="130">
        <v>23</v>
      </c>
      <c r="BB166" s="110">
        <v>3090000</v>
      </c>
      <c r="BC166" s="130">
        <f>Таблица_тренинг_СВ[[#This Row],[опыт]]+BC165</f>
        <v>11454000</v>
      </c>
      <c r="BD166" s="343">
        <v>0.08</v>
      </c>
      <c r="BE166" s="231">
        <f>Таблица_тренинг_СВ[[#This Row],[сила воли2]]+BE165</f>
        <v>1.8400000000000005</v>
      </c>
    </row>
    <row r="167" spans="1:57" x14ac:dyDescent="0.25">
      <c r="A167" s="124">
        <v>27</v>
      </c>
      <c r="B167" s="125">
        <v>808000</v>
      </c>
      <c r="C167" s="299">
        <f t="shared" si="7"/>
        <v>5793000</v>
      </c>
      <c r="D167" s="297"/>
      <c r="E167" s="261">
        <f t="shared" si="8"/>
        <v>6.0000000000000005E-2</v>
      </c>
      <c r="F167" s="297">
        <v>5.0000000000000001E-3</v>
      </c>
      <c r="G167" s="261">
        <f t="shared" si="9"/>
        <v>3.0000000000000002E-2</v>
      </c>
      <c r="H167" s="297"/>
      <c r="I167" s="261">
        <f t="shared" si="10"/>
        <v>0.05</v>
      </c>
      <c r="Q167" s="115">
        <v>27</v>
      </c>
      <c r="R167" s="116">
        <v>870000</v>
      </c>
      <c r="S167" s="146">
        <f>Таблица_навык_ШБ[[#This Row],[опыт]]+S166</f>
        <v>6104000</v>
      </c>
      <c r="T167" s="268"/>
      <c r="U167" s="308">
        <f>Таблица_навык_ШБ[[#This Row],[крит уклонение]]+U166</f>
        <v>14</v>
      </c>
      <c r="V167" s="260"/>
      <c r="W167" s="261">
        <f>Таблица_навык_ШБ[[#This Row],[защита]]+W166</f>
        <v>0.13999999999999999</v>
      </c>
      <c r="AQ167" s="110"/>
      <c r="AR167" s="110"/>
      <c r="AS167" s="110"/>
      <c r="AT167" s="110"/>
      <c r="BA167" s="130">
        <v>24</v>
      </c>
      <c r="BB167" s="110">
        <v>4203000</v>
      </c>
      <c r="BC167" s="130">
        <f>Таблица_тренинг_СВ[[#This Row],[опыт]]+BC166</f>
        <v>15657000</v>
      </c>
      <c r="BD167" s="184">
        <v>0.08</v>
      </c>
      <c r="BE167" s="231">
        <f>Таблица_тренинг_СВ[[#This Row],[сила воли2]]+BE166</f>
        <v>1.9200000000000006</v>
      </c>
    </row>
    <row r="168" spans="1:57" ht="16.5" thickBot="1" x14ac:dyDescent="0.3">
      <c r="A168" s="124">
        <v>28</v>
      </c>
      <c r="B168" s="125">
        <v>929000</v>
      </c>
      <c r="C168" s="299">
        <f t="shared" si="7"/>
        <v>6722000</v>
      </c>
      <c r="D168" s="297"/>
      <c r="E168" s="261">
        <f t="shared" si="8"/>
        <v>6.0000000000000005E-2</v>
      </c>
      <c r="F168" s="297"/>
      <c r="G168" s="261">
        <f t="shared" si="9"/>
        <v>3.0000000000000002E-2</v>
      </c>
      <c r="H168" s="297">
        <v>0.01</v>
      </c>
      <c r="I168" s="261">
        <f t="shared" si="10"/>
        <v>6.0000000000000005E-2</v>
      </c>
      <c r="Q168" s="115">
        <v>28</v>
      </c>
      <c r="R168" s="116">
        <v>1004000</v>
      </c>
      <c r="S168" s="146">
        <f>Таблица_навык_ШБ[[#This Row],[опыт]]+S167</f>
        <v>7108000</v>
      </c>
      <c r="T168" s="268">
        <v>1</v>
      </c>
      <c r="U168" s="308">
        <f>Таблица_навык_ШБ[[#This Row],[крит уклонение]]+U167</f>
        <v>15</v>
      </c>
      <c r="V168" s="260"/>
      <c r="W168" s="261">
        <f>Таблица_навык_ШБ[[#This Row],[защита]]+W167</f>
        <v>0.13999999999999999</v>
      </c>
      <c r="AQ168" s="130"/>
      <c r="AR168" s="130"/>
      <c r="AS168" s="130"/>
      <c r="AT168" s="110"/>
      <c r="BA168" s="130">
        <v>25</v>
      </c>
      <c r="BB168" s="110">
        <v>5709000</v>
      </c>
      <c r="BC168" s="130">
        <f>Таблица_тренинг_СВ[[#This Row],[опыт]]+BC167</f>
        <v>21366000</v>
      </c>
      <c r="BD168" s="344">
        <v>0.08</v>
      </c>
      <c r="BE168" s="232">
        <f>Таблица_тренинг_СВ[[#This Row],[сила воли2]]+BE167</f>
        <v>2.0000000000000004</v>
      </c>
    </row>
    <row r="169" spans="1:57" x14ac:dyDescent="0.25">
      <c r="A169" s="124">
        <v>29</v>
      </c>
      <c r="B169" s="125">
        <v>1069000</v>
      </c>
      <c r="C169" s="299">
        <f t="shared" si="7"/>
        <v>7791000</v>
      </c>
      <c r="D169" s="297"/>
      <c r="E169" s="261">
        <f t="shared" si="8"/>
        <v>6.0000000000000005E-2</v>
      </c>
      <c r="F169" s="297"/>
      <c r="G169" s="261">
        <f t="shared" si="9"/>
        <v>3.0000000000000002E-2</v>
      </c>
      <c r="H169" s="297"/>
      <c r="I169" s="261">
        <f t="shared" si="10"/>
        <v>6.0000000000000005E-2</v>
      </c>
      <c r="Q169" s="115">
        <v>29</v>
      </c>
      <c r="R169" s="116">
        <v>1159000</v>
      </c>
      <c r="S169" s="146">
        <f>Таблица_навык_ШБ[[#This Row],[опыт]]+S168</f>
        <v>8267000</v>
      </c>
      <c r="T169" s="268"/>
      <c r="U169" s="308">
        <f>Таблица_навык_ШБ[[#This Row],[крит уклонение]]+U168</f>
        <v>15</v>
      </c>
      <c r="V169" s="260">
        <v>0.01</v>
      </c>
      <c r="W169" s="261">
        <f>Таблица_навык_ШБ[[#This Row],[защита]]+W168</f>
        <v>0.15</v>
      </c>
      <c r="AP169" s="110"/>
      <c r="AQ169" s="110"/>
      <c r="AR169" s="110"/>
      <c r="AS169" s="110"/>
      <c r="AT169" s="110"/>
    </row>
    <row r="170" spans="1:57" x14ac:dyDescent="0.25">
      <c r="A170" s="124">
        <v>30</v>
      </c>
      <c r="B170" s="125">
        <v>1226000</v>
      </c>
      <c r="C170" s="299">
        <f t="shared" si="7"/>
        <v>9017000</v>
      </c>
      <c r="D170" s="297">
        <v>0.01</v>
      </c>
      <c r="E170" s="261">
        <f t="shared" si="8"/>
        <v>7.0000000000000007E-2</v>
      </c>
      <c r="F170" s="297"/>
      <c r="G170" s="261">
        <f t="shared" si="9"/>
        <v>3.0000000000000002E-2</v>
      </c>
      <c r="H170" s="297"/>
      <c r="I170" s="261">
        <f t="shared" si="10"/>
        <v>6.0000000000000005E-2</v>
      </c>
      <c r="Q170" s="115">
        <v>30</v>
      </c>
      <c r="R170" s="116">
        <v>1336000</v>
      </c>
      <c r="S170" s="146">
        <f>Таблица_навык_ШБ[[#This Row],[опыт]]+S169</f>
        <v>9603000</v>
      </c>
      <c r="T170" s="268">
        <v>1</v>
      </c>
      <c r="U170" s="308">
        <f>Таблица_навык_ШБ[[#This Row],[крит уклонение]]+U169</f>
        <v>16</v>
      </c>
      <c r="V170" s="260"/>
      <c r="W170" s="261">
        <f>Таблица_навык_ШБ[[#This Row],[защита]]+W169</f>
        <v>0.15</v>
      </c>
    </row>
    <row r="171" spans="1:57" x14ac:dyDescent="0.25">
      <c r="A171" s="124">
        <v>31</v>
      </c>
      <c r="B171" s="125">
        <v>1409000</v>
      </c>
      <c r="C171" s="299">
        <f t="shared" si="7"/>
        <v>10426000</v>
      </c>
      <c r="D171" s="297"/>
      <c r="E171" s="261">
        <f t="shared" si="8"/>
        <v>7.0000000000000007E-2</v>
      </c>
      <c r="F171" s="297">
        <v>5.0000000000000001E-3</v>
      </c>
      <c r="G171" s="261">
        <f t="shared" si="9"/>
        <v>3.5000000000000003E-2</v>
      </c>
      <c r="H171" s="297"/>
      <c r="I171" s="261">
        <f t="shared" si="10"/>
        <v>6.0000000000000005E-2</v>
      </c>
      <c r="Q171" s="115">
        <v>31</v>
      </c>
      <c r="R171" s="116">
        <v>1539000</v>
      </c>
      <c r="S171" s="146">
        <f>Таблица_навык_ШБ[[#This Row],[опыт]]+S170</f>
        <v>11142000</v>
      </c>
      <c r="T171" s="268"/>
      <c r="U171" s="308">
        <f>Таблица_навык_ШБ[[#This Row],[крит уклонение]]+U170</f>
        <v>16</v>
      </c>
      <c r="V171" s="260">
        <v>0.01</v>
      </c>
      <c r="W171" s="261">
        <f>Таблица_навык_ШБ[[#This Row],[защита]]+W170</f>
        <v>0.16</v>
      </c>
    </row>
    <row r="172" spans="1:57" x14ac:dyDescent="0.25">
      <c r="A172" s="124">
        <v>32</v>
      </c>
      <c r="B172" s="125">
        <v>1615000</v>
      </c>
      <c r="C172" s="299">
        <f t="shared" si="7"/>
        <v>12041000</v>
      </c>
      <c r="D172" s="297"/>
      <c r="E172" s="261">
        <f t="shared" si="8"/>
        <v>7.0000000000000007E-2</v>
      </c>
      <c r="F172" s="297"/>
      <c r="G172" s="261">
        <f t="shared" si="9"/>
        <v>3.5000000000000003E-2</v>
      </c>
      <c r="H172" s="297">
        <v>0.01</v>
      </c>
      <c r="I172" s="261">
        <f t="shared" si="10"/>
        <v>7.0000000000000007E-2</v>
      </c>
      <c r="Q172" s="115">
        <v>32</v>
      </c>
      <c r="R172" s="116">
        <v>1772000</v>
      </c>
      <c r="S172" s="146">
        <f>Таблица_навык_ШБ[[#This Row],[опыт]]+S171</f>
        <v>12914000</v>
      </c>
      <c r="T172" s="268">
        <v>1</v>
      </c>
      <c r="U172" s="308">
        <f>Таблица_навык_ШБ[[#This Row],[крит уклонение]]+U171</f>
        <v>17</v>
      </c>
      <c r="V172" s="260"/>
      <c r="W172" s="261">
        <f>Таблица_навык_ШБ[[#This Row],[защита]]+W171</f>
        <v>0.16</v>
      </c>
    </row>
    <row r="173" spans="1:57" x14ac:dyDescent="0.25">
      <c r="A173" s="124">
        <v>33</v>
      </c>
      <c r="B173" s="125">
        <v>1852000</v>
      </c>
      <c r="C173" s="299">
        <f t="shared" si="7"/>
        <v>13893000</v>
      </c>
      <c r="D173" s="297">
        <v>0.01</v>
      </c>
      <c r="E173" s="261">
        <f t="shared" si="8"/>
        <v>0.08</v>
      </c>
      <c r="F173" s="297"/>
      <c r="G173" s="261">
        <f t="shared" si="9"/>
        <v>3.5000000000000003E-2</v>
      </c>
      <c r="H173" s="297"/>
      <c r="I173" s="261">
        <f t="shared" si="10"/>
        <v>7.0000000000000007E-2</v>
      </c>
      <c r="Q173" s="115">
        <v>33</v>
      </c>
      <c r="R173" s="116">
        <v>2040000</v>
      </c>
      <c r="S173" s="146">
        <f>Таблица_навык_ШБ[[#This Row],[опыт]]+S172</f>
        <v>14954000</v>
      </c>
      <c r="T173" s="268"/>
      <c r="U173" s="308">
        <f>Таблица_навык_ШБ[[#This Row],[крит уклонение]]+U172</f>
        <v>17</v>
      </c>
      <c r="V173" s="260">
        <v>0.01</v>
      </c>
      <c r="W173" s="261">
        <f>Таблица_навык_ШБ[[#This Row],[защита]]+W172</f>
        <v>0.17</v>
      </c>
    </row>
    <row r="174" spans="1:57" x14ac:dyDescent="0.25">
      <c r="A174" s="124">
        <v>34</v>
      </c>
      <c r="B174" s="125">
        <v>2121000</v>
      </c>
      <c r="C174" s="299">
        <f t="shared" si="7"/>
        <v>16014000</v>
      </c>
      <c r="D174" s="297"/>
      <c r="E174" s="261">
        <f t="shared" si="8"/>
        <v>0.08</v>
      </c>
      <c r="F174" s="297">
        <v>5.0000000000000001E-3</v>
      </c>
      <c r="G174" s="261">
        <f t="shared" si="9"/>
        <v>0.04</v>
      </c>
      <c r="H174" s="297"/>
      <c r="I174" s="261">
        <f t="shared" si="10"/>
        <v>7.0000000000000007E-2</v>
      </c>
      <c r="Q174" s="115">
        <v>34</v>
      </c>
      <c r="R174" s="116">
        <v>2345000</v>
      </c>
      <c r="S174" s="146">
        <f>Таблица_навык_ШБ[[#This Row],[опыт]]+S173</f>
        <v>17299000</v>
      </c>
      <c r="T174" s="268">
        <v>1</v>
      </c>
      <c r="U174" s="308">
        <f>Таблица_навык_ШБ[[#This Row],[крит уклонение]]+U173</f>
        <v>18</v>
      </c>
      <c r="V174" s="260"/>
      <c r="W174" s="261">
        <f>Таблица_навык_ШБ[[#This Row],[защита]]+W173</f>
        <v>0.17</v>
      </c>
    </row>
    <row r="175" spans="1:57" ht="16.5" thickBot="1" x14ac:dyDescent="0.3">
      <c r="A175" s="118">
        <v>35</v>
      </c>
      <c r="B175" s="119">
        <v>2429000</v>
      </c>
      <c r="C175" s="274">
        <f t="shared" si="7"/>
        <v>18443000</v>
      </c>
      <c r="D175" s="266"/>
      <c r="E175" s="264">
        <f t="shared" si="8"/>
        <v>0.08</v>
      </c>
      <c r="F175" s="298"/>
      <c r="G175" s="264">
        <f t="shared" si="9"/>
        <v>0.04</v>
      </c>
      <c r="H175" s="298"/>
      <c r="I175" s="264">
        <f t="shared" si="10"/>
        <v>7.0000000000000007E-2</v>
      </c>
      <c r="Q175" s="118">
        <v>35</v>
      </c>
      <c r="R175" s="119">
        <v>2695000</v>
      </c>
      <c r="S175" s="274">
        <f>Таблица_навык_ШБ[[#This Row],[опыт]]+S174</f>
        <v>19994000</v>
      </c>
      <c r="T175" s="311"/>
      <c r="U175" s="310">
        <f>Таблица_навык_ШБ[[#This Row],[крит уклонение]]+U174</f>
        <v>18</v>
      </c>
      <c r="V175" s="298"/>
      <c r="W175" s="264">
        <f>Таблица_навык_ШБ[[#This Row],[защита]]+W174</f>
        <v>0.17</v>
      </c>
    </row>
    <row r="176" spans="1:57" ht="16.5" thickBot="1" x14ac:dyDescent="0.3"/>
    <row r="177" spans="1:23" x14ac:dyDescent="0.25">
      <c r="A177" s="129" t="s">
        <v>107</v>
      </c>
      <c r="B177" s="113" t="s">
        <v>153</v>
      </c>
      <c r="C177" s="105" t="s">
        <v>495</v>
      </c>
      <c r="D177" s="265" t="s">
        <v>520</v>
      </c>
      <c r="E177" s="276" t="s">
        <v>534</v>
      </c>
      <c r="F177" s="258" t="s">
        <v>521</v>
      </c>
      <c r="G177" s="276" t="s">
        <v>499</v>
      </c>
      <c r="H177" s="265" t="s">
        <v>522</v>
      </c>
      <c r="I177" s="276" t="s">
        <v>496</v>
      </c>
      <c r="J177" s="103"/>
      <c r="L177" s="130"/>
      <c r="Q177" s="111" t="s">
        <v>36</v>
      </c>
      <c r="R177" s="112" t="s">
        <v>153</v>
      </c>
      <c r="S177" s="131" t="s">
        <v>495</v>
      </c>
      <c r="T177" s="258" t="s">
        <v>494</v>
      </c>
      <c r="U177" s="259" t="s">
        <v>496</v>
      </c>
      <c r="V177" s="258" t="s">
        <v>1</v>
      </c>
      <c r="W177" s="259" t="s">
        <v>499</v>
      </c>
    </row>
    <row r="178" spans="1:23" x14ac:dyDescent="0.25">
      <c r="A178" s="115">
        <v>0</v>
      </c>
      <c r="B178" s="116">
        <v>0</v>
      </c>
      <c r="C178" s="128">
        <v>0</v>
      </c>
      <c r="D178" s="260"/>
      <c r="E178" s="261">
        <v>0</v>
      </c>
      <c r="F178" s="260"/>
      <c r="G178" s="261">
        <v>0</v>
      </c>
      <c r="H178" s="260"/>
      <c r="I178" s="261">
        <v>0</v>
      </c>
      <c r="L178" s="130"/>
      <c r="Q178" s="115">
        <v>0</v>
      </c>
      <c r="R178" s="116">
        <v>0</v>
      </c>
      <c r="S178" s="146">
        <v>0</v>
      </c>
      <c r="T178" s="268"/>
      <c r="U178" s="308">
        <v>0</v>
      </c>
      <c r="V178" s="268"/>
      <c r="W178" s="261">
        <v>0</v>
      </c>
    </row>
    <row r="179" spans="1:23" x14ac:dyDescent="0.25">
      <c r="A179" s="115">
        <v>1</v>
      </c>
      <c r="B179" s="132">
        <v>2000</v>
      </c>
      <c r="C179" s="128">
        <f>Таблица_навык_пулиметы[[#This Row],[опыт]]+C178</f>
        <v>2000</v>
      </c>
      <c r="D179" s="260"/>
      <c r="E179" s="261">
        <f>Таблица_навык_пулиметы[[#This Row],[урон пул.]]+E178</f>
        <v>0</v>
      </c>
      <c r="F179" s="260"/>
      <c r="G179" s="261">
        <f>Таблица_навык_пулиметы[[#This Row],[точность пул. ]]+G178</f>
        <v>0</v>
      </c>
      <c r="H179" s="260"/>
      <c r="I179" s="261">
        <f>Таблица_навык_пулиметы[[#This Row],[крит.урон пул.]]+I178</f>
        <v>0</v>
      </c>
      <c r="L179" s="130"/>
      <c r="Q179" s="115">
        <v>1</v>
      </c>
      <c r="R179" s="116">
        <v>1000</v>
      </c>
      <c r="S179" s="146">
        <f>Таблица_навык_УБ[[#This Row],[опыт]]+S178</f>
        <v>1000</v>
      </c>
      <c r="T179" s="268"/>
      <c r="U179" s="308">
        <f>Таблица_навык_УБ[[#This Row],[сопр эфф]]+U178</f>
        <v>0</v>
      </c>
      <c r="V179" s="260"/>
      <c r="W179" s="261">
        <f>-Таблица_навык_УБ[[#This Row],[защита]]+W178</f>
        <v>0</v>
      </c>
    </row>
    <row r="180" spans="1:23" x14ac:dyDescent="0.25">
      <c r="A180" s="115">
        <v>2</v>
      </c>
      <c r="B180" s="116">
        <v>14000</v>
      </c>
      <c r="C180" s="128">
        <f>Таблица_навык_пулиметы[[#This Row],[опыт]]+C179</f>
        <v>16000</v>
      </c>
      <c r="D180" s="260">
        <v>0.02</v>
      </c>
      <c r="E180" s="261">
        <f>Таблица_навык_пулиметы[[#This Row],[урон пул.]]+E179</f>
        <v>0.02</v>
      </c>
      <c r="F180" s="260"/>
      <c r="G180" s="261">
        <f>Таблица_навык_пулиметы[[#This Row],[точность пул. ]]+G179</f>
        <v>0</v>
      </c>
      <c r="H180" s="260"/>
      <c r="I180" s="261">
        <f>Таблица_навык_пулиметы[[#This Row],[крит.урон пул.]]+I179</f>
        <v>0</v>
      </c>
      <c r="L180" s="130"/>
      <c r="Q180" s="115">
        <v>2</v>
      </c>
      <c r="R180" s="116">
        <v>14000</v>
      </c>
      <c r="S180" s="146">
        <f>Таблица_навык_УБ[[#This Row],[опыт]]+S179</f>
        <v>15000</v>
      </c>
      <c r="T180" s="268">
        <v>3</v>
      </c>
      <c r="U180" s="308">
        <f>Таблица_навык_УБ[[#This Row],[сопр эфф]]+U179</f>
        <v>3</v>
      </c>
      <c r="V180" s="260"/>
      <c r="W180" s="261">
        <f>-Таблица_навык_УБ[[#This Row],[защита]]+W179</f>
        <v>0</v>
      </c>
    </row>
    <row r="181" spans="1:23" x14ac:dyDescent="0.25">
      <c r="A181" s="115">
        <v>3</v>
      </c>
      <c r="B181" s="132">
        <v>18000</v>
      </c>
      <c r="C181" s="128">
        <f>Таблица_навык_пулиметы[[#This Row],[опыт]]+C180</f>
        <v>34000</v>
      </c>
      <c r="D181" s="260"/>
      <c r="E181" s="261">
        <f>Таблица_навык_пулиметы[[#This Row],[урон пул.]]+E180</f>
        <v>0.02</v>
      </c>
      <c r="F181" s="260"/>
      <c r="G181" s="261">
        <f>Таблица_навык_пулиметы[[#This Row],[точность пул. ]]+G180</f>
        <v>0</v>
      </c>
      <c r="H181" s="260"/>
      <c r="I181" s="261">
        <f>Таблица_навык_пулиметы[[#This Row],[крит.урон пул.]]+I180</f>
        <v>0</v>
      </c>
      <c r="L181" s="130"/>
      <c r="Q181" s="115">
        <v>3</v>
      </c>
      <c r="R181" s="116">
        <v>17000</v>
      </c>
      <c r="S181" s="146">
        <f>Таблица_навык_УБ[[#This Row],[опыт]]+S180</f>
        <v>32000</v>
      </c>
      <c r="T181" s="268"/>
      <c r="U181" s="308">
        <f>Таблица_навык_УБ[[#This Row],[сопр эфф]]+U180</f>
        <v>3</v>
      </c>
      <c r="V181" s="260">
        <v>0.02</v>
      </c>
      <c r="W181" s="261">
        <f>Таблица_навык_УБ[[#This Row],[защита]]+W180</f>
        <v>0.02</v>
      </c>
    </row>
    <row r="182" spans="1:23" x14ac:dyDescent="0.25">
      <c r="A182" s="115">
        <v>4</v>
      </c>
      <c r="B182" s="116">
        <v>21000</v>
      </c>
      <c r="C182" s="128">
        <f>Таблица_навык_пулиметы[[#This Row],[опыт]]+C181</f>
        <v>55000</v>
      </c>
      <c r="D182" s="260"/>
      <c r="E182" s="261">
        <f>Таблица_навык_пулиметы[[#This Row],[урон пул.]]+E181</f>
        <v>0.02</v>
      </c>
      <c r="F182" s="260">
        <v>0.01</v>
      </c>
      <c r="G182" s="261">
        <f>Таблица_навык_пулиметы[[#This Row],[точность пул. ]]+G181</f>
        <v>0.01</v>
      </c>
      <c r="H182" s="260"/>
      <c r="I182" s="261">
        <f>Таблица_навык_пулиметы[[#This Row],[крит.урон пул.]]+I181</f>
        <v>0</v>
      </c>
      <c r="L182" s="130"/>
      <c r="Q182" s="115">
        <v>4</v>
      </c>
      <c r="R182" s="116">
        <v>21000</v>
      </c>
      <c r="S182" s="146">
        <f>Таблица_навык_УБ[[#This Row],[опыт]]+S181</f>
        <v>53000</v>
      </c>
      <c r="T182" s="268">
        <v>3</v>
      </c>
      <c r="U182" s="308">
        <f>Таблица_навык_УБ[[#This Row],[сопр эфф]]+U181</f>
        <v>6</v>
      </c>
      <c r="V182" s="260"/>
      <c r="W182" s="261">
        <f>Таблица_навык_УБ[[#This Row],[защита]]+W181</f>
        <v>0.02</v>
      </c>
    </row>
    <row r="183" spans="1:23" x14ac:dyDescent="0.25">
      <c r="A183" s="115">
        <v>5</v>
      </c>
      <c r="B183" s="132">
        <v>26000</v>
      </c>
      <c r="C183" s="128">
        <f>Таблица_навык_пулиметы[[#This Row],[опыт]]+C182</f>
        <v>81000</v>
      </c>
      <c r="D183" s="260"/>
      <c r="E183" s="261">
        <f>Таблица_навык_пулиметы[[#This Row],[урон пул.]]+E182</f>
        <v>0.02</v>
      </c>
      <c r="F183" s="260"/>
      <c r="G183" s="261">
        <f>Таблица_навык_пулиметы[[#This Row],[точность пул. ]]+G182</f>
        <v>0.01</v>
      </c>
      <c r="H183" s="260">
        <v>0.02</v>
      </c>
      <c r="I183" s="261">
        <f>Таблица_навык_пулиметы[[#This Row],[крит.урон пул.]]+I182</f>
        <v>0.02</v>
      </c>
      <c r="L183" s="130"/>
      <c r="Q183" s="115">
        <v>5</v>
      </c>
      <c r="R183" s="116">
        <v>26000</v>
      </c>
      <c r="S183" s="146">
        <f>Таблица_навык_УБ[[#This Row],[опыт]]+S182</f>
        <v>79000</v>
      </c>
      <c r="T183" s="268"/>
      <c r="U183" s="308">
        <f>Таблица_навык_УБ[[#This Row],[сопр эфф]]+U182</f>
        <v>6</v>
      </c>
      <c r="V183" s="260"/>
      <c r="W183" s="261">
        <f>Таблица_навык_УБ[[#This Row],[защита]]+W182</f>
        <v>0.02</v>
      </c>
    </row>
    <row r="184" spans="1:23" x14ac:dyDescent="0.25">
      <c r="A184" s="115">
        <v>6</v>
      </c>
      <c r="B184" s="116">
        <v>31000</v>
      </c>
      <c r="C184" s="128">
        <f>Таблица_навык_пулиметы[[#This Row],[опыт]]+C183</f>
        <v>112000</v>
      </c>
      <c r="D184" s="260">
        <v>0.02</v>
      </c>
      <c r="E184" s="261">
        <f>Таблица_навык_пулиметы[[#This Row],[урон пул.]]+E183</f>
        <v>0.04</v>
      </c>
      <c r="F184" s="260"/>
      <c r="G184" s="261">
        <f>Таблица_навык_пулиметы[[#This Row],[точность пул. ]]+G183</f>
        <v>0.01</v>
      </c>
      <c r="H184" s="260"/>
      <c r="I184" s="261">
        <f>Таблица_навык_пулиметы[[#This Row],[крит.урон пул.]]+I183</f>
        <v>0.02</v>
      </c>
      <c r="L184" s="130"/>
      <c r="Q184" s="115">
        <v>6</v>
      </c>
      <c r="R184" s="116">
        <v>31000</v>
      </c>
      <c r="S184" s="146">
        <f>Таблица_навык_УБ[[#This Row],[опыт]]+S183</f>
        <v>110000</v>
      </c>
      <c r="T184" s="268"/>
      <c r="U184" s="308">
        <f>Таблица_навык_УБ[[#This Row],[сопр эфф]]+U183</f>
        <v>6</v>
      </c>
      <c r="V184" s="260">
        <v>0.02</v>
      </c>
      <c r="W184" s="261">
        <f>Таблица_навык_УБ[[#This Row],[защита]]+W183</f>
        <v>0.04</v>
      </c>
    </row>
    <row r="185" spans="1:23" x14ac:dyDescent="0.25">
      <c r="A185" s="115">
        <v>7</v>
      </c>
      <c r="B185" s="132">
        <v>38000</v>
      </c>
      <c r="C185" s="128">
        <f>Таблица_навык_пулиметы[[#This Row],[опыт]]+C184</f>
        <v>150000</v>
      </c>
      <c r="D185" s="260"/>
      <c r="E185" s="261">
        <f>Таблица_навык_пулиметы[[#This Row],[урон пул.]]+E184</f>
        <v>0.04</v>
      </c>
      <c r="F185" s="260"/>
      <c r="G185" s="261">
        <f>Таблица_навык_пулиметы[[#This Row],[точность пул. ]]+G184</f>
        <v>0.01</v>
      </c>
      <c r="H185" s="260"/>
      <c r="I185" s="261">
        <f>Таблица_навык_пулиметы[[#This Row],[крит.урон пул.]]+I184</f>
        <v>0.02</v>
      </c>
      <c r="L185" s="130"/>
      <c r="Q185" s="115">
        <v>7</v>
      </c>
      <c r="R185" s="116">
        <v>37000</v>
      </c>
      <c r="S185" s="146">
        <f>Таблица_навык_УБ[[#This Row],[опыт]]+S184</f>
        <v>147000</v>
      </c>
      <c r="T185" s="268">
        <v>3</v>
      </c>
      <c r="U185" s="308">
        <f>Таблица_навык_УБ[[#This Row],[сопр эфф]]+U184</f>
        <v>9</v>
      </c>
      <c r="V185" s="260"/>
      <c r="W185" s="261">
        <f>Таблица_навык_УБ[[#This Row],[защита]]+W184</f>
        <v>0.04</v>
      </c>
    </row>
    <row r="186" spans="1:23" x14ac:dyDescent="0.25">
      <c r="A186" s="115">
        <v>8</v>
      </c>
      <c r="B186" s="116">
        <v>44000</v>
      </c>
      <c r="C186" s="128">
        <f>Таблица_навык_пулиметы[[#This Row],[опыт]]+C185</f>
        <v>194000</v>
      </c>
      <c r="D186" s="260"/>
      <c r="E186" s="261">
        <f>Таблица_навык_пулиметы[[#This Row],[урон пул.]]+E185</f>
        <v>0.04</v>
      </c>
      <c r="F186" s="260">
        <v>0.01</v>
      </c>
      <c r="G186" s="261">
        <f>Таблица_навык_пулиметы[[#This Row],[точность пул. ]]+G185</f>
        <v>0.02</v>
      </c>
      <c r="H186" s="260"/>
      <c r="I186" s="261">
        <f>Таблица_навык_пулиметы[[#This Row],[крит.урон пул.]]+I185</f>
        <v>0.02</v>
      </c>
      <c r="L186" s="130"/>
      <c r="Q186" s="115">
        <v>8</v>
      </c>
      <c r="R186" s="116">
        <v>44000</v>
      </c>
      <c r="S186" s="146">
        <f>Таблица_навык_УБ[[#This Row],[опыт]]+S185</f>
        <v>191000</v>
      </c>
      <c r="T186" s="268"/>
      <c r="U186" s="308">
        <f>Таблица_навык_УБ[[#This Row],[сопр эфф]]+U185</f>
        <v>9</v>
      </c>
      <c r="V186" s="260">
        <v>0.02</v>
      </c>
      <c r="W186" s="261">
        <f>Таблица_навык_УБ[[#This Row],[защита]]+W185</f>
        <v>0.06</v>
      </c>
    </row>
    <row r="187" spans="1:23" x14ac:dyDescent="0.25">
      <c r="A187" s="115">
        <v>9</v>
      </c>
      <c r="B187" s="132">
        <v>53000</v>
      </c>
      <c r="C187" s="128">
        <f>Таблица_навык_пулиметы[[#This Row],[опыт]]+C186</f>
        <v>247000</v>
      </c>
      <c r="D187" s="260"/>
      <c r="E187" s="261">
        <f>Таблица_навык_пулиметы[[#This Row],[урон пул.]]+E186</f>
        <v>0.04</v>
      </c>
      <c r="F187" s="260"/>
      <c r="G187" s="261">
        <f>Таблица_навык_пулиметы[[#This Row],[точность пул. ]]+G186</f>
        <v>0.02</v>
      </c>
      <c r="H187" s="260">
        <v>0.02</v>
      </c>
      <c r="I187" s="261">
        <f>Таблица_навык_пулиметы[[#This Row],[крит.урон пул.]]+I186</f>
        <v>0.04</v>
      </c>
      <c r="L187" s="130"/>
      <c r="Q187" s="115">
        <v>9</v>
      </c>
      <c r="R187" s="116">
        <v>53000</v>
      </c>
      <c r="S187" s="146">
        <f>Таблица_навык_УБ[[#This Row],[опыт]]+S186</f>
        <v>244000</v>
      </c>
      <c r="T187" s="268">
        <v>3</v>
      </c>
      <c r="U187" s="308">
        <f>Таблица_навык_УБ[[#This Row],[сопр эфф]]+U186</f>
        <v>12</v>
      </c>
      <c r="V187" s="260"/>
      <c r="W187" s="261">
        <f>Таблица_навык_УБ[[#This Row],[защита]]+W186</f>
        <v>0.06</v>
      </c>
    </row>
    <row r="188" spans="1:23" x14ac:dyDescent="0.25">
      <c r="A188" s="115">
        <v>10</v>
      </c>
      <c r="B188" s="116">
        <v>62000</v>
      </c>
      <c r="C188" s="128">
        <f>Таблица_навык_пулиметы[[#This Row],[опыт]]+C187</f>
        <v>309000</v>
      </c>
      <c r="D188" s="260"/>
      <c r="E188" s="261">
        <f>Таблица_навык_пулиметы[[#This Row],[урон пул.]]+E187</f>
        <v>0.04</v>
      </c>
      <c r="F188" s="260"/>
      <c r="G188" s="261">
        <f>Таблица_навык_пулиметы[[#This Row],[точность пул. ]]+G187</f>
        <v>0.02</v>
      </c>
      <c r="H188" s="260"/>
      <c r="I188" s="261">
        <f>Таблица_навык_пулиметы[[#This Row],[крит.урон пул.]]+I187</f>
        <v>0.04</v>
      </c>
      <c r="L188" s="130"/>
      <c r="Q188" s="115">
        <v>10</v>
      </c>
      <c r="R188" s="116">
        <v>63000</v>
      </c>
      <c r="S188" s="146">
        <f>Таблица_навык_УБ[[#This Row],[опыт]]+S187</f>
        <v>307000</v>
      </c>
      <c r="T188" s="268"/>
      <c r="U188" s="308">
        <f>Таблица_навык_УБ[[#This Row],[сопр эфф]]+U187</f>
        <v>12</v>
      </c>
      <c r="V188" s="260"/>
      <c r="W188" s="261">
        <f>Таблица_навык_УБ[[#This Row],[защита]]+W187</f>
        <v>0.06</v>
      </c>
    </row>
    <row r="189" spans="1:23" x14ac:dyDescent="0.25">
      <c r="A189" s="115">
        <v>11</v>
      </c>
      <c r="B189" s="132">
        <v>74000</v>
      </c>
      <c r="C189" s="128">
        <f>Таблица_навык_пулиметы[[#This Row],[опыт]]+C188</f>
        <v>383000</v>
      </c>
      <c r="D189" s="260">
        <v>0.02</v>
      </c>
      <c r="E189" s="261">
        <f>Таблица_навык_пулиметы[[#This Row],[урон пул.]]+E188</f>
        <v>0.06</v>
      </c>
      <c r="F189" s="260"/>
      <c r="G189" s="261">
        <f>Таблица_навык_пулиметы[[#This Row],[точность пул. ]]+G188</f>
        <v>0.02</v>
      </c>
      <c r="H189" s="260"/>
      <c r="I189" s="261">
        <f>Таблица_навык_пулиметы[[#This Row],[крит.урон пул.]]+I188</f>
        <v>0.04</v>
      </c>
      <c r="L189" s="130"/>
      <c r="Q189" s="115">
        <v>11</v>
      </c>
      <c r="R189" s="116">
        <v>74000</v>
      </c>
      <c r="S189" s="146">
        <f>Таблица_навык_УБ[[#This Row],[опыт]]+S188</f>
        <v>381000</v>
      </c>
      <c r="T189" s="268"/>
      <c r="U189" s="308">
        <f>Таблица_навык_УБ[[#This Row],[сопр эфф]]+U188</f>
        <v>12</v>
      </c>
      <c r="V189" s="260">
        <v>0.02</v>
      </c>
      <c r="W189" s="261">
        <f>Таблица_навык_УБ[[#This Row],[защита]]+W188</f>
        <v>0.08</v>
      </c>
    </row>
    <row r="190" spans="1:23" x14ac:dyDescent="0.25">
      <c r="A190" s="115">
        <v>12</v>
      </c>
      <c r="B190" s="116">
        <v>86000</v>
      </c>
      <c r="C190" s="128">
        <f>Таблица_навык_пулиметы[[#This Row],[опыт]]+C189</f>
        <v>469000</v>
      </c>
      <c r="D190" s="260"/>
      <c r="E190" s="261">
        <f>Таблица_навык_пулиметы[[#This Row],[урон пул.]]+E189</f>
        <v>0.06</v>
      </c>
      <c r="F190" s="260">
        <v>0.01</v>
      </c>
      <c r="G190" s="261">
        <f>Таблица_навык_пулиметы[[#This Row],[точность пул. ]]+G189</f>
        <v>0.03</v>
      </c>
      <c r="H190" s="260"/>
      <c r="I190" s="261">
        <f>Таблица_навык_пулиметы[[#This Row],[крит.урон пул.]]+I189</f>
        <v>0.04</v>
      </c>
      <c r="L190" s="130"/>
      <c r="Q190" s="115">
        <v>12</v>
      </c>
      <c r="R190" s="116">
        <v>88000</v>
      </c>
      <c r="S190" s="146">
        <f>Таблица_навык_УБ[[#This Row],[опыт]]+S189</f>
        <v>469000</v>
      </c>
      <c r="T190" s="268">
        <v>3</v>
      </c>
      <c r="U190" s="308">
        <f>Таблица_навык_УБ[[#This Row],[сопр эфф]]+U189</f>
        <v>15</v>
      </c>
      <c r="V190" s="260"/>
      <c r="W190" s="261">
        <f>Таблица_навык_УБ[[#This Row],[защита]]+W189</f>
        <v>0.08</v>
      </c>
    </row>
    <row r="191" spans="1:23" x14ac:dyDescent="0.25">
      <c r="A191" s="115">
        <v>13</v>
      </c>
      <c r="B191" s="132">
        <v>102000</v>
      </c>
      <c r="C191" s="128">
        <f>Таблица_навык_пулиметы[[#This Row],[опыт]]+C190</f>
        <v>571000</v>
      </c>
      <c r="D191" s="260"/>
      <c r="E191" s="261">
        <f>Таблица_навык_пулиметы[[#This Row],[урон пул.]]+E190</f>
        <v>0.06</v>
      </c>
      <c r="F191" s="260"/>
      <c r="G191" s="261">
        <f>Таблица_навык_пулиметы[[#This Row],[точность пул. ]]+G190</f>
        <v>0.03</v>
      </c>
      <c r="H191" s="260">
        <v>0.02</v>
      </c>
      <c r="I191" s="261">
        <f>Таблица_навык_пулиметы[[#This Row],[крит.урон пул.]]+I190</f>
        <v>0.06</v>
      </c>
      <c r="L191" s="130"/>
      <c r="Q191" s="115">
        <v>13</v>
      </c>
      <c r="R191" s="116">
        <v>103000</v>
      </c>
      <c r="S191" s="146">
        <f>Таблица_навык_УБ[[#This Row],[опыт]]+S190</f>
        <v>572000</v>
      </c>
      <c r="T191" s="268"/>
      <c r="U191" s="308">
        <f>Таблица_навык_УБ[[#This Row],[сопр эфф]]+U190</f>
        <v>15</v>
      </c>
      <c r="V191" s="260">
        <v>0.01</v>
      </c>
      <c r="W191" s="261">
        <f>Таблица_навык_УБ[[#This Row],[защита]]+W190</f>
        <v>0.09</v>
      </c>
    </row>
    <row r="192" spans="1:23" x14ac:dyDescent="0.25">
      <c r="A192" s="115">
        <v>14</v>
      </c>
      <c r="B192" s="116">
        <v>119000</v>
      </c>
      <c r="C192" s="128">
        <f>Таблица_навык_пулиметы[[#This Row],[опыт]]+C191</f>
        <v>690000</v>
      </c>
      <c r="D192" s="260"/>
      <c r="E192" s="261">
        <f>Таблица_навык_пулиметы[[#This Row],[урон пул.]]+E191</f>
        <v>0.06</v>
      </c>
      <c r="F192" s="260"/>
      <c r="G192" s="261">
        <f>Таблица_навык_пулиметы[[#This Row],[точность пул. ]]+G191</f>
        <v>0.03</v>
      </c>
      <c r="H192" s="260"/>
      <c r="I192" s="261">
        <f>Таблица_навык_пулиметы[[#This Row],[крит.урон пул.]]+I191</f>
        <v>0.06</v>
      </c>
      <c r="L192" s="130"/>
      <c r="Q192" s="115">
        <v>14</v>
      </c>
      <c r="R192" s="116">
        <v>122000</v>
      </c>
      <c r="S192" s="146">
        <f>Таблица_навык_УБ[[#This Row],[опыт]]+S191</f>
        <v>694000</v>
      </c>
      <c r="T192" s="268"/>
      <c r="U192" s="308">
        <f>Таблица_навык_УБ[[#This Row],[сопр эфф]]+U191</f>
        <v>15</v>
      </c>
      <c r="V192" s="260"/>
      <c r="W192" s="261">
        <f>Таблица_навык_УБ[[#This Row],[защита]]+W191</f>
        <v>0.09</v>
      </c>
    </row>
    <row r="193" spans="1:23" x14ac:dyDescent="0.25">
      <c r="A193" s="115">
        <v>15</v>
      </c>
      <c r="B193" s="132">
        <v>139000</v>
      </c>
      <c r="C193" s="128">
        <f>Таблица_навык_пулиметы[[#This Row],[опыт]]+C192</f>
        <v>829000</v>
      </c>
      <c r="D193" s="260">
        <v>0.02</v>
      </c>
      <c r="E193" s="261">
        <f>Таблица_навык_пулиметы[[#This Row],[урон пул.]]+E192</f>
        <v>0.08</v>
      </c>
      <c r="F193" s="260"/>
      <c r="G193" s="261">
        <f>Таблица_навык_пулиметы[[#This Row],[точность пул. ]]+G192</f>
        <v>0.03</v>
      </c>
      <c r="H193" s="260"/>
      <c r="I193" s="261">
        <f>Таблица_навык_пулиметы[[#This Row],[крит.урон пул.]]+I192</f>
        <v>0.06</v>
      </c>
      <c r="L193" s="130"/>
      <c r="Q193" s="115">
        <v>15</v>
      </c>
      <c r="R193" s="116">
        <v>143000</v>
      </c>
      <c r="S193" s="146">
        <f>Таблица_навык_УБ[[#This Row],[опыт]]+S192</f>
        <v>837000</v>
      </c>
      <c r="T193" s="268">
        <v>3</v>
      </c>
      <c r="U193" s="308">
        <f>Таблица_навык_УБ[[#This Row],[сопр эфф]]+U192</f>
        <v>18</v>
      </c>
      <c r="V193" s="260"/>
      <c r="W193" s="261">
        <f>Таблица_навык_УБ[[#This Row],[защита]]+W192</f>
        <v>0.09</v>
      </c>
    </row>
    <row r="194" spans="1:23" x14ac:dyDescent="0.25">
      <c r="A194" s="115">
        <v>16</v>
      </c>
      <c r="B194" s="116">
        <v>162000</v>
      </c>
      <c r="C194" s="128">
        <f>Таблица_навык_пулиметы[[#This Row],[опыт]]+C193</f>
        <v>991000</v>
      </c>
      <c r="D194" s="260"/>
      <c r="E194" s="261">
        <f>Таблица_навык_пулиметы[[#This Row],[урон пул.]]+E193</f>
        <v>0.08</v>
      </c>
      <c r="F194" s="260">
        <v>0.01</v>
      </c>
      <c r="G194" s="261">
        <f>Таблица_навык_пулиметы[[#This Row],[точность пул. ]]+G193</f>
        <v>0.04</v>
      </c>
      <c r="H194" s="260"/>
      <c r="I194" s="261">
        <f>Таблица_навык_пулиметы[[#This Row],[крит.урон пул.]]+I193</f>
        <v>0.06</v>
      </c>
      <c r="L194" s="130"/>
      <c r="Q194" s="115">
        <v>16</v>
      </c>
      <c r="R194" s="116">
        <v>167000</v>
      </c>
      <c r="S194" s="146">
        <f>Таблица_навык_УБ[[#This Row],[опыт]]+S193</f>
        <v>1004000</v>
      </c>
      <c r="T194" s="268"/>
      <c r="U194" s="308">
        <f>Таблица_навык_УБ[[#This Row],[сопр эфф]]+U193</f>
        <v>18</v>
      </c>
      <c r="V194" s="260">
        <v>0.01</v>
      </c>
      <c r="W194" s="261">
        <f>Таблица_навык_УБ[[#This Row],[защита]]+W193</f>
        <v>9.9999999999999992E-2</v>
      </c>
    </row>
    <row r="195" spans="1:23" x14ac:dyDescent="0.25">
      <c r="A195" s="115">
        <v>17</v>
      </c>
      <c r="B195" s="132">
        <v>189000</v>
      </c>
      <c r="C195" s="128">
        <f>Таблица_навык_пулиметы[[#This Row],[опыт]]+C194</f>
        <v>1180000</v>
      </c>
      <c r="D195" s="260"/>
      <c r="E195" s="261">
        <f>Таблица_навык_пулиметы[[#This Row],[урон пул.]]+E194</f>
        <v>0.08</v>
      </c>
      <c r="F195" s="260"/>
      <c r="G195" s="261">
        <f>Таблица_навык_пулиметы[[#This Row],[точность пул. ]]+G194</f>
        <v>0.04</v>
      </c>
      <c r="H195" s="260"/>
      <c r="I195" s="261">
        <f>Таблица_навык_пулиметы[[#This Row],[крит.урон пул.]]+I194</f>
        <v>0.06</v>
      </c>
      <c r="L195" s="130"/>
      <c r="Q195" s="115">
        <v>17</v>
      </c>
      <c r="R195" s="116">
        <v>196000</v>
      </c>
      <c r="S195" s="146">
        <f>Таблица_навык_УБ[[#This Row],[опыт]]+S194</f>
        <v>1200000</v>
      </c>
      <c r="T195" s="268">
        <v>3</v>
      </c>
      <c r="U195" s="308">
        <f>Таблица_навык_УБ[[#This Row],[сопр эфф]]+U194</f>
        <v>21</v>
      </c>
      <c r="V195" s="260"/>
      <c r="W195" s="261">
        <f>Таблица_навык_УБ[[#This Row],[защита]]+W194</f>
        <v>9.9999999999999992E-2</v>
      </c>
    </row>
    <row r="196" spans="1:23" x14ac:dyDescent="0.25">
      <c r="A196" s="115">
        <v>18</v>
      </c>
      <c r="B196" s="116">
        <v>220000</v>
      </c>
      <c r="C196" s="128">
        <f>Таблица_навык_пулиметы[[#This Row],[опыт]]+C195</f>
        <v>1400000</v>
      </c>
      <c r="D196" s="260"/>
      <c r="E196" s="261">
        <f>Таблица_навык_пулиметы[[#This Row],[урон пул.]]+E195</f>
        <v>0.08</v>
      </c>
      <c r="F196" s="260"/>
      <c r="G196" s="261">
        <f>Таблица_навык_пулиметы[[#This Row],[точность пул. ]]+G195</f>
        <v>0.04</v>
      </c>
      <c r="H196" s="260">
        <v>0.02</v>
      </c>
      <c r="I196" s="261">
        <f>Таблица_навык_пулиметы[[#This Row],[крит.урон пул.]]+I195</f>
        <v>0.08</v>
      </c>
      <c r="L196" s="130"/>
      <c r="Q196" s="115">
        <v>18</v>
      </c>
      <c r="R196" s="116">
        <v>228000</v>
      </c>
      <c r="S196" s="146">
        <f>Таблица_навык_УБ[[#This Row],[опыт]]+S195</f>
        <v>1428000</v>
      </c>
      <c r="T196" s="268"/>
      <c r="U196" s="308">
        <f>Таблица_навык_УБ[[#This Row],[сопр эфф]]+U195</f>
        <v>21</v>
      </c>
      <c r="V196" s="260"/>
      <c r="W196" s="261">
        <f>Таблица_навык_УБ[[#This Row],[защита]]+W195</f>
        <v>9.9999999999999992E-2</v>
      </c>
    </row>
    <row r="197" spans="1:23" x14ac:dyDescent="0.25">
      <c r="A197" s="115">
        <v>19</v>
      </c>
      <c r="B197" s="132">
        <v>255000</v>
      </c>
      <c r="C197" s="128">
        <f>Таблица_навык_пулиметы[[#This Row],[опыт]]+C196</f>
        <v>1655000</v>
      </c>
      <c r="D197" s="260"/>
      <c r="E197" s="261">
        <f>Таблица_навык_пулиметы[[#This Row],[урон пул.]]+E196</f>
        <v>0.08</v>
      </c>
      <c r="F197" s="260"/>
      <c r="G197" s="261">
        <f>Таблица_навык_пулиметы[[#This Row],[точность пул. ]]+G196</f>
        <v>0.04</v>
      </c>
      <c r="H197" s="260"/>
      <c r="I197" s="261">
        <f>Таблица_навык_пулиметы[[#This Row],[крит.урон пул.]]+I196</f>
        <v>0.08</v>
      </c>
      <c r="L197" s="130"/>
      <c r="Q197" s="115">
        <v>19</v>
      </c>
      <c r="R197" s="116">
        <v>266000</v>
      </c>
      <c r="S197" s="146">
        <f>Таблица_навык_УБ[[#This Row],[опыт]]+S196</f>
        <v>1694000</v>
      </c>
      <c r="T197" s="268"/>
      <c r="U197" s="308">
        <f>Таблица_навык_УБ[[#This Row],[сопр эфф]]+U196</f>
        <v>21</v>
      </c>
      <c r="V197" s="260">
        <v>0.01</v>
      </c>
      <c r="W197" s="261">
        <f>Таблица_навык_УБ[[#This Row],[защита]]+W196</f>
        <v>0.10999999999999999</v>
      </c>
    </row>
    <row r="198" spans="1:23" x14ac:dyDescent="0.25">
      <c r="A198" s="115">
        <v>20</v>
      </c>
      <c r="B198" s="116">
        <v>295000</v>
      </c>
      <c r="C198" s="128">
        <f>Таблица_навык_пулиметы[[#This Row],[опыт]]+C197</f>
        <v>1950000</v>
      </c>
      <c r="D198" s="260">
        <v>0.02</v>
      </c>
      <c r="E198" s="261">
        <f>Таблица_навык_пулиметы[[#This Row],[урон пул.]]+E197</f>
        <v>0.1</v>
      </c>
      <c r="F198" s="260"/>
      <c r="G198" s="261">
        <f>Таблица_навык_пулиметы[[#This Row],[точность пул. ]]+G197</f>
        <v>0.04</v>
      </c>
      <c r="H198" s="260"/>
      <c r="I198" s="261">
        <f>Таблица_навык_пулиметы[[#This Row],[крит.урон пул.]]+I197</f>
        <v>0.08</v>
      </c>
      <c r="L198" s="130"/>
      <c r="Q198" s="115">
        <v>20</v>
      </c>
      <c r="R198" s="116">
        <v>310000</v>
      </c>
      <c r="S198" s="146">
        <f>Таблица_навык_УБ[[#This Row],[опыт]]+S197</f>
        <v>2004000</v>
      </c>
      <c r="T198" s="268">
        <v>3</v>
      </c>
      <c r="U198" s="308">
        <f>Таблица_навык_УБ[[#This Row],[сопр эфф]]+U197</f>
        <v>24</v>
      </c>
      <c r="V198" s="260"/>
      <c r="W198" s="261">
        <f>Таблица_навык_УБ[[#This Row],[защита]]+W197</f>
        <v>0.10999999999999999</v>
      </c>
    </row>
    <row r="199" spans="1:23" x14ac:dyDescent="0.25">
      <c r="A199" s="115">
        <v>21</v>
      </c>
      <c r="B199" s="132">
        <v>343000</v>
      </c>
      <c r="C199" s="128">
        <f>Таблица_навык_пулиметы[[#This Row],[опыт]]+C198</f>
        <v>2293000</v>
      </c>
      <c r="D199" s="260"/>
      <c r="E199" s="261">
        <f>Таблица_навык_пулиметы[[#This Row],[урон пул.]]+E198</f>
        <v>0.1</v>
      </c>
      <c r="F199" s="260"/>
      <c r="G199" s="261">
        <f>Таблица_навык_пулиметы[[#This Row],[точность пул. ]]+G198</f>
        <v>0.04</v>
      </c>
      <c r="H199" s="260"/>
      <c r="I199" s="261">
        <f>Таблица_навык_пулиметы[[#This Row],[крит.урон пул.]]+I198</f>
        <v>0.08</v>
      </c>
      <c r="L199" s="130"/>
      <c r="Q199" s="115">
        <v>21</v>
      </c>
      <c r="R199" s="116">
        <v>361000</v>
      </c>
      <c r="S199" s="146">
        <f>Таблица_навык_УБ[[#This Row],[опыт]]+S198</f>
        <v>2365000</v>
      </c>
      <c r="T199" s="268"/>
      <c r="U199" s="308">
        <f>Таблица_навык_УБ[[#This Row],[сопр эфф]]+U198</f>
        <v>24</v>
      </c>
      <c r="V199" s="260">
        <v>0.01</v>
      </c>
      <c r="W199" s="261">
        <f>Таблица_навык_УБ[[#This Row],[защита]]+W198</f>
        <v>0.11999999999999998</v>
      </c>
    </row>
    <row r="200" spans="1:23" x14ac:dyDescent="0.25">
      <c r="A200" s="115">
        <v>22</v>
      </c>
      <c r="B200" s="116">
        <v>396000</v>
      </c>
      <c r="C200" s="128">
        <f>Таблица_навык_пулиметы[[#This Row],[опыт]]+C199</f>
        <v>2689000</v>
      </c>
      <c r="D200" s="260"/>
      <c r="E200" s="261">
        <f>Таблица_навык_пулиметы[[#This Row],[урон пул.]]+E199</f>
        <v>0.1</v>
      </c>
      <c r="F200" s="260">
        <v>0.01</v>
      </c>
      <c r="G200" s="261">
        <f>Таблица_навык_пулиметы[[#This Row],[точность пул. ]]+G199</f>
        <v>0.05</v>
      </c>
      <c r="H200" s="260"/>
      <c r="I200" s="261">
        <f>Таблица_навык_пулиметы[[#This Row],[крит.урон пул.]]+I199</f>
        <v>0.08</v>
      </c>
      <c r="L200" s="130"/>
      <c r="Q200" s="115">
        <v>22</v>
      </c>
      <c r="R200" s="116">
        <v>418000</v>
      </c>
      <c r="S200" s="146">
        <f>Таблица_навык_УБ[[#This Row],[опыт]]+S199</f>
        <v>2783000</v>
      </c>
      <c r="T200" s="268"/>
      <c r="U200" s="308">
        <f>Таблица_навык_УБ[[#This Row],[сопр эфф]]+U199</f>
        <v>24</v>
      </c>
      <c r="V200" s="260"/>
      <c r="W200" s="261">
        <f>Таблица_навык_УБ[[#This Row],[защита]]+W199</f>
        <v>0.11999999999999998</v>
      </c>
    </row>
    <row r="201" spans="1:23" x14ac:dyDescent="0.25">
      <c r="A201" s="115">
        <v>23</v>
      </c>
      <c r="B201" s="132">
        <v>457000</v>
      </c>
      <c r="C201" s="128">
        <f>Таблица_навык_пулиметы[[#This Row],[опыт]]+C200</f>
        <v>3146000</v>
      </c>
      <c r="D201" s="260"/>
      <c r="E201" s="261">
        <f>Таблица_навык_пулиметы[[#This Row],[урон пул.]]+E200</f>
        <v>0.1</v>
      </c>
      <c r="F201" s="260"/>
      <c r="G201" s="261">
        <f>Таблица_навык_пулиметы[[#This Row],[точность пул. ]]+G200</f>
        <v>0.05</v>
      </c>
      <c r="H201" s="260"/>
      <c r="I201" s="261">
        <f>Таблица_навык_пулиметы[[#This Row],[крит.урон пул.]]+I200</f>
        <v>0.08</v>
      </c>
      <c r="L201" s="130"/>
      <c r="Q201" s="115">
        <v>23</v>
      </c>
      <c r="R201" s="116">
        <v>485000</v>
      </c>
      <c r="S201" s="146">
        <f>Таблица_навык_УБ[[#This Row],[опыт]]+S200</f>
        <v>3268000</v>
      </c>
      <c r="T201" s="268">
        <v>2</v>
      </c>
      <c r="U201" s="308">
        <f>Таблица_навык_УБ[[#This Row],[сопр эфф]]+U200</f>
        <v>26</v>
      </c>
      <c r="V201" s="260"/>
      <c r="W201" s="261">
        <f>Таблица_навык_УБ[[#This Row],[защита]]+W200</f>
        <v>0.11999999999999998</v>
      </c>
    </row>
    <row r="202" spans="1:23" x14ac:dyDescent="0.25">
      <c r="A202" s="115">
        <v>24</v>
      </c>
      <c r="B202" s="116">
        <v>528000</v>
      </c>
      <c r="C202" s="128">
        <f>Таблица_навык_пулиметы[[#This Row],[опыт]]+C201</f>
        <v>3674000</v>
      </c>
      <c r="D202" s="260"/>
      <c r="E202" s="261">
        <f>Таблица_навык_пулиметы[[#This Row],[урон пул.]]+E201</f>
        <v>0.1</v>
      </c>
      <c r="F202" s="260"/>
      <c r="G202" s="261">
        <f>Таблица_навык_пулиметы[[#This Row],[точность пул. ]]+G201</f>
        <v>0.05</v>
      </c>
      <c r="H202" s="260">
        <v>0.02</v>
      </c>
      <c r="I202" s="261">
        <f>Таблица_навык_пулиметы[[#This Row],[крит.урон пул.]]+I201</f>
        <v>0.1</v>
      </c>
      <c r="L202" s="130"/>
      <c r="Q202" s="115">
        <v>24</v>
      </c>
      <c r="R202" s="116">
        <v>562000</v>
      </c>
      <c r="S202" s="146">
        <f>Таблица_навык_УБ[[#This Row],[опыт]]+S201</f>
        <v>3830000</v>
      </c>
      <c r="T202" s="268"/>
      <c r="U202" s="308">
        <f>Таблица_навык_УБ[[#This Row],[сопр эфф]]+U201</f>
        <v>26</v>
      </c>
      <c r="V202" s="260">
        <v>0.01</v>
      </c>
      <c r="W202" s="261">
        <f>Таблица_навык_УБ[[#This Row],[защита]]+W201</f>
        <v>0.12999999999999998</v>
      </c>
    </row>
    <row r="203" spans="1:23" x14ac:dyDescent="0.25">
      <c r="A203" s="115">
        <v>25</v>
      </c>
      <c r="B203" s="132">
        <v>610000</v>
      </c>
      <c r="C203" s="128">
        <f>Таблица_навык_пулиметы[[#This Row],[опыт]]+C202</f>
        <v>4284000</v>
      </c>
      <c r="D203" s="260"/>
      <c r="E203" s="261">
        <f>Таблица_навык_пулиметы[[#This Row],[урон пул.]]+E202</f>
        <v>0.1</v>
      </c>
      <c r="F203" s="260"/>
      <c r="G203" s="261">
        <f>Таблица_навык_пулиметы[[#This Row],[точность пул. ]]+G202</f>
        <v>0.05</v>
      </c>
      <c r="H203" s="260"/>
      <c r="I203" s="261">
        <f>Таблица_навык_пулиметы[[#This Row],[крит.урон пул.]]+I202</f>
        <v>0.1</v>
      </c>
      <c r="L203" s="130"/>
      <c r="M203" s="3"/>
      <c r="N203" s="3"/>
      <c r="O203" s="3"/>
      <c r="Q203" s="115">
        <v>25</v>
      </c>
      <c r="R203" s="116">
        <v>651000</v>
      </c>
      <c r="S203" s="146">
        <f>Таблица_навык_УБ[[#This Row],[опыт]]+S202</f>
        <v>4481000</v>
      </c>
      <c r="T203" s="268">
        <v>2</v>
      </c>
      <c r="U203" s="308">
        <f>Таблица_навык_УБ[[#This Row],[сопр эфф]]+U202</f>
        <v>28</v>
      </c>
      <c r="V203" s="260"/>
      <c r="W203" s="261">
        <f>Таблица_навык_УБ[[#This Row],[защита]]+W202</f>
        <v>0.12999999999999998</v>
      </c>
    </row>
    <row r="204" spans="1:23" x14ac:dyDescent="0.25">
      <c r="A204" s="115">
        <v>26</v>
      </c>
      <c r="B204" s="116">
        <v>701000</v>
      </c>
      <c r="C204" s="128">
        <f>Таблица_навык_пулиметы[[#This Row],[опыт]]+C203</f>
        <v>4985000</v>
      </c>
      <c r="D204" s="260">
        <v>0.02</v>
      </c>
      <c r="E204" s="261">
        <f>Таблица_навык_пулиметы[[#This Row],[урон пул.]]+E203</f>
        <v>0.12000000000000001</v>
      </c>
      <c r="F204" s="260"/>
      <c r="G204" s="261">
        <f>Таблица_навык_пулиметы[[#This Row],[точность пул. ]]+G203</f>
        <v>0.05</v>
      </c>
      <c r="H204" s="260"/>
      <c r="I204" s="261">
        <f>Таблица_навык_пулиметы[[#This Row],[крит.урон пул.]]+I203</f>
        <v>0.1</v>
      </c>
      <c r="L204" s="130"/>
      <c r="M204" s="3"/>
      <c r="N204" s="3"/>
      <c r="O204" s="3"/>
      <c r="Q204" s="115">
        <v>26</v>
      </c>
      <c r="R204" s="116">
        <v>753000</v>
      </c>
      <c r="S204" s="146">
        <f>Таблица_навык_УБ[[#This Row],[опыт]]+S203</f>
        <v>5234000</v>
      </c>
      <c r="T204" s="268"/>
      <c r="U204" s="308">
        <f>Таблица_навык_УБ[[#This Row],[сопр эфф]]+U203</f>
        <v>28</v>
      </c>
      <c r="V204" s="260">
        <v>0.01</v>
      </c>
      <c r="W204" s="261">
        <f>Таблица_навык_УБ[[#This Row],[защита]]+W203</f>
        <v>0.13999999999999999</v>
      </c>
    </row>
    <row r="205" spans="1:23" x14ac:dyDescent="0.25">
      <c r="A205" s="115">
        <v>27</v>
      </c>
      <c r="B205" s="132">
        <v>808000</v>
      </c>
      <c r="C205" s="128">
        <f>Таблица_навык_пулиметы[[#This Row],[опыт]]+C204</f>
        <v>5793000</v>
      </c>
      <c r="D205" s="260"/>
      <c r="E205" s="261">
        <f>Таблица_навык_пулиметы[[#This Row],[урон пул.]]+E204</f>
        <v>0.12000000000000001</v>
      </c>
      <c r="F205" s="260">
        <v>0.01</v>
      </c>
      <c r="G205" s="261">
        <f>Таблица_навык_пулиметы[[#This Row],[точность пул. ]]+G204</f>
        <v>6.0000000000000005E-2</v>
      </c>
      <c r="H205" s="260"/>
      <c r="I205" s="261">
        <f>Таблица_навык_пулиметы[[#This Row],[крит.урон пул.]]+I204</f>
        <v>0.1</v>
      </c>
      <c r="L205" s="130"/>
      <c r="M205" s="3"/>
      <c r="N205" s="3"/>
      <c r="O205" s="3"/>
      <c r="Q205" s="115">
        <v>27</v>
      </c>
      <c r="R205" s="116">
        <v>870000</v>
      </c>
      <c r="S205" s="146">
        <f>Таблица_навык_УБ[[#This Row],[опыт]]+S204</f>
        <v>6104000</v>
      </c>
      <c r="T205" s="268"/>
      <c r="U205" s="308">
        <f>Таблица_навык_УБ[[#This Row],[сопр эфф]]+U204</f>
        <v>28</v>
      </c>
      <c r="V205" s="260"/>
      <c r="W205" s="261">
        <f>Таблица_навык_УБ[[#This Row],[защита]]+W204</f>
        <v>0.13999999999999999</v>
      </c>
    </row>
    <row r="206" spans="1:23" x14ac:dyDescent="0.25">
      <c r="A206" s="115">
        <v>28</v>
      </c>
      <c r="B206" s="116">
        <v>929000</v>
      </c>
      <c r="C206" s="128">
        <f>Таблица_навык_пулиметы[[#This Row],[опыт]]+C205</f>
        <v>6722000</v>
      </c>
      <c r="D206" s="260"/>
      <c r="E206" s="261">
        <f>Таблица_навык_пулиметы[[#This Row],[урон пул.]]+E205</f>
        <v>0.12000000000000001</v>
      </c>
      <c r="F206" s="260"/>
      <c r="G206" s="261">
        <f>Таблица_навык_пулиметы[[#This Row],[точность пул. ]]+G205</f>
        <v>6.0000000000000005E-2</v>
      </c>
      <c r="H206" s="260">
        <v>0.02</v>
      </c>
      <c r="I206" s="261">
        <f>Таблица_навык_пулиметы[[#This Row],[крит.урон пул.]]+I205</f>
        <v>0.12000000000000001</v>
      </c>
      <c r="L206" s="130"/>
      <c r="M206" s="3"/>
      <c r="N206" s="3"/>
      <c r="O206" s="3"/>
      <c r="Q206" s="115">
        <v>28</v>
      </c>
      <c r="R206" s="116">
        <v>1004000</v>
      </c>
      <c r="S206" s="146">
        <f>Таблица_навык_УБ[[#This Row],[опыт]]+S205</f>
        <v>7108000</v>
      </c>
      <c r="T206" s="268">
        <v>2</v>
      </c>
      <c r="U206" s="308">
        <f>Таблица_навык_УБ[[#This Row],[сопр эфф]]+U205</f>
        <v>30</v>
      </c>
      <c r="V206" s="260"/>
      <c r="W206" s="261">
        <f>Таблица_навык_УБ[[#This Row],[защита]]+W205</f>
        <v>0.13999999999999999</v>
      </c>
    </row>
    <row r="207" spans="1:23" x14ac:dyDescent="0.25">
      <c r="A207" s="115">
        <v>29</v>
      </c>
      <c r="B207" s="132">
        <v>1069000</v>
      </c>
      <c r="C207" s="128">
        <f>Таблица_навык_пулиметы[[#This Row],[опыт]]+C206</f>
        <v>7791000</v>
      </c>
      <c r="D207" s="260"/>
      <c r="E207" s="261">
        <f>Таблица_навык_пулиметы[[#This Row],[урон пул.]]+E206</f>
        <v>0.12000000000000001</v>
      </c>
      <c r="F207" s="260"/>
      <c r="G207" s="261">
        <f>Таблица_навык_пулиметы[[#This Row],[точность пул. ]]+G206</f>
        <v>6.0000000000000005E-2</v>
      </c>
      <c r="H207" s="260"/>
      <c r="I207" s="261">
        <f>Таблица_навык_пулиметы[[#This Row],[крит.урон пул.]]+I206</f>
        <v>0.12000000000000001</v>
      </c>
      <c r="L207" s="130"/>
      <c r="M207" s="3"/>
      <c r="N207" s="3"/>
      <c r="O207" s="3"/>
      <c r="Q207" s="115">
        <v>29</v>
      </c>
      <c r="R207" s="116">
        <v>1159000</v>
      </c>
      <c r="S207" s="146">
        <f>Таблица_навык_УБ[[#This Row],[опыт]]+S206</f>
        <v>8267000</v>
      </c>
      <c r="T207" s="268"/>
      <c r="U207" s="308">
        <f>Таблица_навык_УБ[[#This Row],[сопр эфф]]+U206</f>
        <v>30</v>
      </c>
      <c r="V207" s="260">
        <v>0.01</v>
      </c>
      <c r="W207" s="261">
        <f>Таблица_навык_УБ[[#This Row],[защита]]+W206</f>
        <v>0.15</v>
      </c>
    </row>
    <row r="208" spans="1:23" x14ac:dyDescent="0.25">
      <c r="A208" s="115">
        <v>30</v>
      </c>
      <c r="B208" s="116">
        <v>1226000</v>
      </c>
      <c r="C208" s="128">
        <f>Таблица_навык_пулиметы[[#This Row],[опыт]]+C207</f>
        <v>9017000</v>
      </c>
      <c r="D208" s="260">
        <v>0.02</v>
      </c>
      <c r="E208" s="261">
        <f>Таблица_навык_пулиметы[[#This Row],[урон пул.]]+E207</f>
        <v>0.14000000000000001</v>
      </c>
      <c r="F208" s="260"/>
      <c r="G208" s="261">
        <f>Таблица_навык_пулиметы[[#This Row],[точность пул. ]]+G207</f>
        <v>6.0000000000000005E-2</v>
      </c>
      <c r="H208" s="260"/>
      <c r="I208" s="261">
        <f>Таблица_навык_пулиметы[[#This Row],[крит.урон пул.]]+I207</f>
        <v>0.12000000000000001</v>
      </c>
      <c r="L208" s="130"/>
      <c r="M208" s="3"/>
      <c r="N208" s="3"/>
      <c r="O208" s="3"/>
      <c r="Q208" s="115">
        <v>30</v>
      </c>
      <c r="R208" s="116">
        <v>1336000</v>
      </c>
      <c r="S208" s="146">
        <f>Таблица_навык_УБ[[#This Row],[опыт]]+S207</f>
        <v>9603000</v>
      </c>
      <c r="T208" s="268">
        <v>2</v>
      </c>
      <c r="U208" s="308">
        <f>Таблица_навык_УБ[[#This Row],[сопр эфф]]+U207</f>
        <v>32</v>
      </c>
      <c r="V208" s="260"/>
      <c r="W208" s="261">
        <f>Таблица_навык_УБ[[#This Row],[защита]]+W207</f>
        <v>0.15</v>
      </c>
    </row>
    <row r="209" spans="1:27" x14ac:dyDescent="0.25">
      <c r="A209" s="115">
        <v>31</v>
      </c>
      <c r="B209" s="132">
        <v>1409000</v>
      </c>
      <c r="C209" s="128">
        <f>Таблица_навык_пулиметы[[#This Row],[опыт]]+C208</f>
        <v>10426000</v>
      </c>
      <c r="D209" s="260"/>
      <c r="E209" s="261">
        <f>Таблица_навык_пулиметы[[#This Row],[урон пул.]]+E208</f>
        <v>0.14000000000000001</v>
      </c>
      <c r="F209" s="260">
        <v>0.01</v>
      </c>
      <c r="G209" s="261">
        <f>Таблица_навык_пулиметы[[#This Row],[точность пул. ]]+G208</f>
        <v>7.0000000000000007E-2</v>
      </c>
      <c r="H209" s="260"/>
      <c r="I209" s="261">
        <f>Таблица_навык_пулиметы[[#This Row],[крит.урон пул.]]+I208</f>
        <v>0.12000000000000001</v>
      </c>
      <c r="L209" s="130"/>
      <c r="M209" s="3"/>
      <c r="N209" s="3"/>
      <c r="O209" s="3"/>
      <c r="Q209" s="115">
        <v>31</v>
      </c>
      <c r="R209" s="116">
        <v>1539000</v>
      </c>
      <c r="S209" s="146">
        <f>Таблица_навык_УБ[[#This Row],[опыт]]+S208</f>
        <v>11142000</v>
      </c>
      <c r="T209" s="268"/>
      <c r="U209" s="308">
        <f>Таблица_навык_УБ[[#This Row],[сопр эфф]]+U208</f>
        <v>32</v>
      </c>
      <c r="V209" s="260">
        <v>0.01</v>
      </c>
      <c r="W209" s="261">
        <f>Таблица_навык_УБ[[#This Row],[защита]]+W208</f>
        <v>0.16</v>
      </c>
    </row>
    <row r="210" spans="1:27" x14ac:dyDescent="0.25">
      <c r="A210" s="115">
        <v>32</v>
      </c>
      <c r="B210" s="116">
        <v>1615000</v>
      </c>
      <c r="C210" s="128">
        <f>Таблица_навык_пулиметы[[#This Row],[опыт]]+C209</f>
        <v>12041000</v>
      </c>
      <c r="D210" s="260"/>
      <c r="E210" s="261">
        <f>Таблица_навык_пулиметы[[#This Row],[урон пул.]]+E209</f>
        <v>0.14000000000000001</v>
      </c>
      <c r="F210" s="260"/>
      <c r="G210" s="261">
        <f>Таблица_навык_пулиметы[[#This Row],[точность пул. ]]+G209</f>
        <v>7.0000000000000007E-2</v>
      </c>
      <c r="H210" s="260">
        <v>0.02</v>
      </c>
      <c r="I210" s="261">
        <f>Таблица_навык_пулиметы[[#This Row],[крит.урон пул.]]+I209</f>
        <v>0.14000000000000001</v>
      </c>
      <c r="L210" s="130"/>
      <c r="M210" s="3"/>
      <c r="N210" s="3"/>
      <c r="O210" s="3"/>
      <c r="Q210" s="115">
        <v>32</v>
      </c>
      <c r="R210" s="116">
        <v>1772000</v>
      </c>
      <c r="S210" s="146">
        <f>Таблица_навык_УБ[[#This Row],[опыт]]+S209</f>
        <v>12914000</v>
      </c>
      <c r="T210" s="268">
        <v>2</v>
      </c>
      <c r="U210" s="308">
        <f>Таблица_навык_УБ[[#This Row],[сопр эфф]]+U209</f>
        <v>34</v>
      </c>
      <c r="V210" s="260"/>
      <c r="W210" s="261">
        <f>Таблица_навык_УБ[[#This Row],[защита]]+W209</f>
        <v>0.16</v>
      </c>
    </row>
    <row r="211" spans="1:27" x14ac:dyDescent="0.25">
      <c r="A211" s="115">
        <v>33</v>
      </c>
      <c r="B211" s="132">
        <v>1852000</v>
      </c>
      <c r="C211" s="128">
        <f>Таблица_навык_пулиметы[[#This Row],[опыт]]+C210</f>
        <v>13893000</v>
      </c>
      <c r="D211" s="260">
        <v>0.02</v>
      </c>
      <c r="E211" s="261">
        <f>Таблица_навык_пулиметы[[#This Row],[урон пул.]]+E210</f>
        <v>0.16</v>
      </c>
      <c r="F211" s="260"/>
      <c r="G211" s="261">
        <f>Таблица_навык_пулиметы[[#This Row],[точность пул. ]]+G210</f>
        <v>7.0000000000000007E-2</v>
      </c>
      <c r="H211" s="260"/>
      <c r="I211" s="261">
        <f>Таблица_навык_пулиметы[[#This Row],[крит.урон пул.]]+I210</f>
        <v>0.14000000000000001</v>
      </c>
      <c r="L211" s="130"/>
      <c r="M211" s="3"/>
      <c r="N211" s="3"/>
      <c r="O211" s="3"/>
      <c r="Q211" s="115">
        <v>33</v>
      </c>
      <c r="R211" s="116">
        <v>2040000</v>
      </c>
      <c r="S211" s="146">
        <f>Таблица_навык_УБ[[#This Row],[опыт]]+S210</f>
        <v>14954000</v>
      </c>
      <c r="T211" s="268"/>
      <c r="U211" s="308">
        <f>Таблица_навык_УБ[[#This Row],[сопр эфф]]+U210</f>
        <v>34</v>
      </c>
      <c r="V211" s="260">
        <v>0.01</v>
      </c>
      <c r="W211" s="261">
        <f>Таблица_навык_УБ[[#This Row],[защита]]+W210</f>
        <v>0.17</v>
      </c>
    </row>
    <row r="212" spans="1:27" x14ac:dyDescent="0.25">
      <c r="A212" s="115">
        <v>34</v>
      </c>
      <c r="B212" s="116">
        <v>2121000</v>
      </c>
      <c r="C212" s="128">
        <f>Таблица_навык_пулиметы[[#This Row],[опыт]]+C211</f>
        <v>16014000</v>
      </c>
      <c r="D212" s="260"/>
      <c r="E212" s="261">
        <f>Таблица_навык_пулиметы[[#This Row],[урон пул.]]+E211</f>
        <v>0.16</v>
      </c>
      <c r="F212" s="260">
        <v>0.01</v>
      </c>
      <c r="G212" s="261">
        <f>Таблица_навык_пулиметы[[#This Row],[точность пул. ]]+G211</f>
        <v>0.08</v>
      </c>
      <c r="H212" s="260"/>
      <c r="I212" s="261">
        <f>Таблица_навык_пулиметы[[#This Row],[крит.урон пул.]]+I211</f>
        <v>0.14000000000000001</v>
      </c>
      <c r="K212" s="3"/>
      <c r="L212" s="3"/>
      <c r="M212" s="3"/>
      <c r="N212" s="3"/>
      <c r="O212" s="3"/>
      <c r="Q212" s="115">
        <v>34</v>
      </c>
      <c r="R212" s="116">
        <v>2345000</v>
      </c>
      <c r="S212" s="146">
        <f>Таблица_навык_УБ[[#This Row],[опыт]]+S211</f>
        <v>17299000</v>
      </c>
      <c r="T212" s="268">
        <v>2</v>
      </c>
      <c r="U212" s="308">
        <f>Таблица_навык_УБ[[#This Row],[сопр эфф]]+U211</f>
        <v>36</v>
      </c>
      <c r="V212" s="260"/>
      <c r="W212" s="261">
        <f>Таблица_навык_УБ[[#This Row],[защита]]+W211</f>
        <v>0.17</v>
      </c>
    </row>
    <row r="213" spans="1:27" ht="16.5" thickBot="1" x14ac:dyDescent="0.3">
      <c r="A213" s="118">
        <v>35</v>
      </c>
      <c r="B213" s="133">
        <v>2429000</v>
      </c>
      <c r="C213" s="257">
        <f>Таблица_навык_пулиметы[[#This Row],[опыт]]+C212</f>
        <v>18443000</v>
      </c>
      <c r="D213" s="266"/>
      <c r="E213" s="264">
        <f>Таблица_навык_пулиметы[[#This Row],[урон пул.]]+E212</f>
        <v>0.16</v>
      </c>
      <c r="F213" s="266"/>
      <c r="G213" s="264">
        <f>Таблица_навык_пулиметы[[#This Row],[точность пул. ]]+G212</f>
        <v>0.08</v>
      </c>
      <c r="H213" s="266"/>
      <c r="I213" s="264">
        <f>Таблица_навык_пулиметы[[#This Row],[крит.урон пул.]]+I212</f>
        <v>0.14000000000000001</v>
      </c>
      <c r="J213" s="3"/>
      <c r="K213" s="3"/>
      <c r="L213" s="3"/>
      <c r="M213" s="3"/>
      <c r="N213" s="3"/>
      <c r="O213" s="3"/>
      <c r="Q213" s="118">
        <v>35</v>
      </c>
      <c r="R213" s="119">
        <v>2695000</v>
      </c>
      <c r="S213" s="274">
        <f>Таблица_навык_УБ[[#This Row],[опыт]]+S212</f>
        <v>19994000</v>
      </c>
      <c r="T213" s="311"/>
      <c r="U213" s="310">
        <f>Таблица_навык_УБ[[#This Row],[сопр эфф]]+U212</f>
        <v>36</v>
      </c>
      <c r="V213" s="298"/>
      <c r="W213" s="261">
        <f>Таблица_навык_УБ[[#This Row],[защита]]+W212</f>
        <v>0.17</v>
      </c>
    </row>
    <row r="214" spans="1:27" ht="16.5" thickBot="1" x14ac:dyDescent="0.3">
      <c r="C214" s="3"/>
      <c r="D214" s="3"/>
      <c r="E214" s="3"/>
      <c r="J214" s="3"/>
      <c r="K214" s="3"/>
      <c r="L214" s="3"/>
      <c r="M214" s="3"/>
      <c r="N214" s="3"/>
      <c r="O214" s="3"/>
    </row>
    <row r="215" spans="1:27" x14ac:dyDescent="0.25">
      <c r="A215" s="122" t="s">
        <v>108</v>
      </c>
      <c r="B215" s="112" t="s">
        <v>153</v>
      </c>
      <c r="C215" s="105" t="s">
        <v>495</v>
      </c>
      <c r="D215" s="258" t="s">
        <v>53</v>
      </c>
      <c r="E215" s="276" t="s">
        <v>496</v>
      </c>
      <c r="F215" s="258" t="s">
        <v>103</v>
      </c>
      <c r="G215" s="276" t="s">
        <v>499</v>
      </c>
      <c r="H215" s="258" t="s">
        <v>111</v>
      </c>
      <c r="I215" s="276" t="s">
        <v>534</v>
      </c>
      <c r="J215" s="3"/>
      <c r="K215" s="3"/>
      <c r="L215" s="3"/>
      <c r="M215" s="3"/>
      <c r="N215" s="3"/>
      <c r="O215" s="3"/>
      <c r="Q215" s="111" t="s">
        <v>123</v>
      </c>
      <c r="R215" s="112" t="s">
        <v>153</v>
      </c>
      <c r="S215" s="131" t="s">
        <v>495</v>
      </c>
      <c r="T215" s="258" t="s">
        <v>124</v>
      </c>
      <c r="U215" s="259" t="s">
        <v>496</v>
      </c>
      <c r="W215" s="111" t="s">
        <v>125</v>
      </c>
      <c r="X215" s="112" t="s">
        <v>514</v>
      </c>
      <c r="Y215" s="131" t="s">
        <v>495</v>
      </c>
      <c r="Z215" s="258" t="s">
        <v>528</v>
      </c>
      <c r="AA215" s="259" t="s">
        <v>496</v>
      </c>
    </row>
    <row r="216" spans="1:27" x14ac:dyDescent="0.25">
      <c r="A216" s="115">
        <v>0</v>
      </c>
      <c r="B216" s="116">
        <v>0</v>
      </c>
      <c r="C216" s="128">
        <v>0</v>
      </c>
      <c r="D216" s="260"/>
      <c r="E216" s="261">
        <v>0</v>
      </c>
      <c r="F216" s="260"/>
      <c r="G216" s="261">
        <v>0</v>
      </c>
      <c r="H216" s="260"/>
      <c r="I216" s="261">
        <v>0</v>
      </c>
      <c r="J216" s="3"/>
      <c r="M216" s="3"/>
      <c r="N216" s="3"/>
      <c r="O216" s="3"/>
      <c r="Q216" s="115">
        <v>0</v>
      </c>
      <c r="R216" s="116">
        <v>0</v>
      </c>
      <c r="S216" s="128">
        <v>0</v>
      </c>
      <c r="T216" s="268"/>
      <c r="U216" s="320">
        <v>0</v>
      </c>
      <c r="W216" s="115">
        <v>0</v>
      </c>
      <c r="X216" s="116">
        <v>0</v>
      </c>
      <c r="Y216" s="146">
        <v>0</v>
      </c>
      <c r="Z216" s="268"/>
      <c r="AA216" s="321">
        <v>0</v>
      </c>
    </row>
    <row r="217" spans="1:27" x14ac:dyDescent="0.25">
      <c r="A217" s="115">
        <v>1</v>
      </c>
      <c r="B217" s="132">
        <v>2000</v>
      </c>
      <c r="C217" s="128">
        <f>Таблица_навык_дробовики[[#This Row],[опыт]]+C216</f>
        <v>2000</v>
      </c>
      <c r="D217" s="260"/>
      <c r="E217" s="261">
        <f>Таблица_навык_дробовики[[#This Row],[урон]]+E216</f>
        <v>0</v>
      </c>
      <c r="F217" s="260"/>
      <c r="G217" s="271">
        <f>Таблица_навык_дробовики[[#This Row],[точность]]+G216</f>
        <v>0</v>
      </c>
      <c r="H217" s="270"/>
      <c r="I217" s="271">
        <f>Таблица_навык_дробовики[[#This Row],[дальность]]+I216</f>
        <v>0</v>
      </c>
      <c r="J217" s="3"/>
      <c r="M217" s="3"/>
      <c r="N217" s="3"/>
      <c r="O217" s="3"/>
      <c r="Q217" s="115">
        <v>1</v>
      </c>
      <c r="R217" s="116">
        <v>2000</v>
      </c>
      <c r="S217" s="128">
        <f>Таблица_навык_щиты[[#This Row],[опыт]]+S216</f>
        <v>2000</v>
      </c>
      <c r="T217" s="260">
        <v>0.03</v>
      </c>
      <c r="U217" s="261">
        <f>Таблица_навык_щиты[[#This Row],[броня щита]]+U216</f>
        <v>0.03</v>
      </c>
      <c r="W217" s="115">
        <v>1</v>
      </c>
      <c r="X217" s="116">
        <v>1000</v>
      </c>
      <c r="Y217" s="146">
        <f>Таблица_навык_сопрт._эфф.[[#This Row],[опыт ]]+Y216</f>
        <v>1000</v>
      </c>
      <c r="Z217" s="268">
        <v>4</v>
      </c>
      <c r="AA217" s="308">
        <f>Таблица_навык_сопрт._эфф.[[#This Row],[сопр. Эфф. ]]+AA216</f>
        <v>4</v>
      </c>
    </row>
    <row r="218" spans="1:27" x14ac:dyDescent="0.25">
      <c r="A218" s="115">
        <v>2</v>
      </c>
      <c r="B218" s="116">
        <v>14000</v>
      </c>
      <c r="C218" s="128">
        <f>Таблица_навык_дробовики[[#This Row],[опыт]]+C217</f>
        <v>16000</v>
      </c>
      <c r="D218" s="260">
        <v>0.01</v>
      </c>
      <c r="E218" s="261">
        <f>Таблица_навык_дробовики[[#This Row],[урон]]+E217</f>
        <v>0.01</v>
      </c>
      <c r="F218" s="260"/>
      <c r="G218" s="271">
        <f>Таблица_навык_дробовики[[#This Row],[точность]]+G217</f>
        <v>0</v>
      </c>
      <c r="H218" s="270"/>
      <c r="I218" s="271">
        <f>Таблица_навык_дробовики[[#This Row],[дальность]]+I217</f>
        <v>0</v>
      </c>
      <c r="J218" s="3"/>
      <c r="M218" s="3"/>
      <c r="N218" s="3"/>
      <c r="O218" s="3"/>
      <c r="Q218" s="115">
        <v>2</v>
      </c>
      <c r="R218" s="116">
        <v>8000</v>
      </c>
      <c r="S218" s="128">
        <f>Таблица_навык_щиты[[#This Row],[опыт]]+S217</f>
        <v>10000</v>
      </c>
      <c r="T218" s="260">
        <v>0.03</v>
      </c>
      <c r="U218" s="261">
        <f>Таблица_навык_щиты[[#This Row],[броня щита]]+U217</f>
        <v>0.06</v>
      </c>
      <c r="W218" s="115">
        <v>2</v>
      </c>
      <c r="X218" s="116">
        <v>14000</v>
      </c>
      <c r="Y218" s="146">
        <f>Таблица_навык_сопрт._эфф.[[#This Row],[опыт ]]+Y217</f>
        <v>15000</v>
      </c>
      <c r="Z218" s="268">
        <v>4</v>
      </c>
      <c r="AA218" s="308">
        <f>Таблица_навык_сопрт._эфф.[[#This Row],[сопр. Эфф. ]]+AA217</f>
        <v>8</v>
      </c>
    </row>
    <row r="219" spans="1:27" x14ac:dyDescent="0.25">
      <c r="A219" s="115">
        <v>3</v>
      </c>
      <c r="B219" s="132">
        <v>18000</v>
      </c>
      <c r="C219" s="128">
        <f>Таблица_навык_дробовики[[#This Row],[опыт]]+C218</f>
        <v>34000</v>
      </c>
      <c r="D219" s="260"/>
      <c r="E219" s="261">
        <f>Таблица_навык_дробовики[[#This Row],[урон]]+E218</f>
        <v>0.01</v>
      </c>
      <c r="F219" s="260"/>
      <c r="G219" s="271">
        <f>Таблица_навык_дробовики[[#This Row],[точность]]+G218</f>
        <v>0</v>
      </c>
      <c r="H219" s="270"/>
      <c r="I219" s="271">
        <f>Таблица_навык_дробовики[[#This Row],[дальность]]+I218</f>
        <v>0</v>
      </c>
      <c r="J219" s="3"/>
      <c r="M219" s="3"/>
      <c r="N219" s="3"/>
      <c r="O219" s="3"/>
      <c r="Q219" s="115">
        <v>3</v>
      </c>
      <c r="R219" s="116">
        <v>12000</v>
      </c>
      <c r="S219" s="128">
        <f>Таблица_навык_щиты[[#This Row],[опыт]]+S218</f>
        <v>22000</v>
      </c>
      <c r="T219" s="260">
        <v>0.03</v>
      </c>
      <c r="U219" s="261">
        <f>Таблица_навык_щиты[[#This Row],[броня щита]]+U218</f>
        <v>0.09</v>
      </c>
      <c r="W219" s="115">
        <v>3</v>
      </c>
      <c r="X219" s="116">
        <v>20000</v>
      </c>
      <c r="Y219" s="146">
        <f>Таблица_навык_сопрт._эфф.[[#This Row],[опыт ]]+Y218</f>
        <v>35000</v>
      </c>
      <c r="Z219" s="268">
        <v>4</v>
      </c>
      <c r="AA219" s="308">
        <f>Таблица_навык_сопрт._эфф.[[#This Row],[сопр. Эфф. ]]+AA218</f>
        <v>12</v>
      </c>
    </row>
    <row r="220" spans="1:27" x14ac:dyDescent="0.25">
      <c r="A220" s="115">
        <v>4</v>
      </c>
      <c r="B220" s="116">
        <v>21000</v>
      </c>
      <c r="C220" s="128">
        <f>Таблица_навык_дробовики[[#This Row],[опыт]]+C219</f>
        <v>55000</v>
      </c>
      <c r="D220" s="260"/>
      <c r="E220" s="261">
        <f>Таблица_навык_дробовики[[#This Row],[урон]]+E219</f>
        <v>0.01</v>
      </c>
      <c r="F220" s="260">
        <v>0.01</v>
      </c>
      <c r="G220" s="271">
        <f>Таблица_навык_дробовики[[#This Row],[точность]]+G219</f>
        <v>0.01</v>
      </c>
      <c r="H220" s="270"/>
      <c r="I220" s="271">
        <f>Таблица_навык_дробовики[[#This Row],[дальность]]+I219</f>
        <v>0</v>
      </c>
      <c r="J220" s="3"/>
      <c r="M220" s="3"/>
      <c r="N220" s="3"/>
      <c r="O220" s="3"/>
      <c r="Q220" s="115">
        <v>4</v>
      </c>
      <c r="R220" s="116">
        <v>15000</v>
      </c>
      <c r="S220" s="128">
        <f>Таблица_навык_щиты[[#This Row],[опыт]]+S219</f>
        <v>37000</v>
      </c>
      <c r="T220" s="260">
        <v>0.03</v>
      </c>
      <c r="U220" s="261">
        <f>Таблица_навык_щиты[[#This Row],[броня щита]]+U219</f>
        <v>0.12</v>
      </c>
      <c r="W220" s="115">
        <v>4</v>
      </c>
      <c r="X220" s="116">
        <v>24000</v>
      </c>
      <c r="Y220" s="146">
        <f>Таблица_навык_сопрт._эфф.[[#This Row],[опыт ]]+Y219</f>
        <v>59000</v>
      </c>
      <c r="Z220" s="268">
        <v>4</v>
      </c>
      <c r="AA220" s="308">
        <f>Таблица_навык_сопрт._эфф.[[#This Row],[сопр. Эфф. ]]+AA219</f>
        <v>16</v>
      </c>
    </row>
    <row r="221" spans="1:27" x14ac:dyDescent="0.25">
      <c r="A221" s="115">
        <v>5</v>
      </c>
      <c r="B221" s="132">
        <v>26000</v>
      </c>
      <c r="C221" s="128">
        <f>Таблица_навык_дробовики[[#This Row],[опыт]]+C220</f>
        <v>81000</v>
      </c>
      <c r="D221" s="260"/>
      <c r="E221" s="261">
        <f>Таблица_навык_дробовики[[#This Row],[урон]]+E220</f>
        <v>0.01</v>
      </c>
      <c r="F221" s="260"/>
      <c r="G221" s="271">
        <f>Таблица_навык_дробовики[[#This Row],[точность]]+G220</f>
        <v>0.01</v>
      </c>
      <c r="H221" s="270">
        <v>0.02</v>
      </c>
      <c r="I221" s="271">
        <f>Таблица_навык_дробовики[[#This Row],[дальность]]+I220</f>
        <v>0.02</v>
      </c>
      <c r="J221" s="3"/>
      <c r="M221" s="3"/>
      <c r="N221" s="3"/>
      <c r="O221" s="3"/>
      <c r="Q221" s="115">
        <v>5</v>
      </c>
      <c r="R221" s="116">
        <v>21000</v>
      </c>
      <c r="S221" s="128">
        <f>Таблица_навык_щиты[[#This Row],[опыт]]+S220</f>
        <v>58000</v>
      </c>
      <c r="T221" s="260">
        <v>0.03</v>
      </c>
      <c r="U221" s="261">
        <f>Таблица_навык_щиты[[#This Row],[броня щита]]+U220</f>
        <v>0.15</v>
      </c>
      <c r="W221" s="115">
        <v>5</v>
      </c>
      <c r="X221" s="116">
        <v>31000</v>
      </c>
      <c r="Y221" s="146">
        <f>Таблица_навык_сопрт._эфф.[[#This Row],[опыт ]]+Y220</f>
        <v>90000</v>
      </c>
      <c r="Z221" s="268">
        <v>4</v>
      </c>
      <c r="AA221" s="308">
        <f>Таблица_навык_сопрт._эфф.[[#This Row],[сопр. Эфф. ]]+AA220</f>
        <v>20</v>
      </c>
    </row>
    <row r="222" spans="1:27" x14ac:dyDescent="0.25">
      <c r="A222" s="115">
        <v>6</v>
      </c>
      <c r="B222" s="116">
        <v>31000</v>
      </c>
      <c r="C222" s="128">
        <f>Таблица_навык_дробовики[[#This Row],[опыт]]+C221</f>
        <v>112000</v>
      </c>
      <c r="D222" s="260">
        <v>0.01</v>
      </c>
      <c r="E222" s="261">
        <f>Таблица_навык_дробовики[[#This Row],[урон]]+E221</f>
        <v>0.02</v>
      </c>
      <c r="F222" s="260"/>
      <c r="G222" s="271">
        <f>Таблица_навык_дробовики[[#This Row],[точность]]+G221</f>
        <v>0.01</v>
      </c>
      <c r="H222" s="270"/>
      <c r="I222" s="271">
        <f>Таблица_навык_дробовики[[#This Row],[дальность]]+I221</f>
        <v>0.02</v>
      </c>
      <c r="J222" s="3"/>
      <c r="M222" s="3"/>
      <c r="N222" s="3"/>
      <c r="O222" s="3"/>
      <c r="Q222" s="115">
        <v>6</v>
      </c>
      <c r="R222" s="116">
        <v>28000</v>
      </c>
      <c r="S222" s="128">
        <f>Таблица_навык_щиты[[#This Row],[опыт]]+S221</f>
        <v>86000</v>
      </c>
      <c r="T222" s="260">
        <v>0.04</v>
      </c>
      <c r="U222" s="261">
        <f>Таблица_навык_щиты[[#This Row],[броня щита]]+U221</f>
        <v>0.19</v>
      </c>
      <c r="W222" s="115">
        <v>6</v>
      </c>
      <c r="X222" s="116">
        <v>38000</v>
      </c>
      <c r="Y222" s="146">
        <f>Таблица_навык_сопрт._эфф.[[#This Row],[опыт ]]+Y221</f>
        <v>128000</v>
      </c>
      <c r="Z222" s="268">
        <v>4</v>
      </c>
      <c r="AA222" s="308">
        <f>Таблица_навык_сопрт._эфф.[[#This Row],[сопр. Эфф. ]]+AA221</f>
        <v>24</v>
      </c>
    </row>
    <row r="223" spans="1:27" x14ac:dyDescent="0.25">
      <c r="A223" s="115">
        <v>7</v>
      </c>
      <c r="B223" s="132">
        <v>38000</v>
      </c>
      <c r="C223" s="128">
        <f>Таблица_навык_дробовики[[#This Row],[опыт]]+C222</f>
        <v>150000</v>
      </c>
      <c r="D223" s="260"/>
      <c r="E223" s="261">
        <f>Таблица_навык_дробовики[[#This Row],[урон]]+E222</f>
        <v>0.02</v>
      </c>
      <c r="F223" s="260"/>
      <c r="G223" s="271">
        <f>Таблица_навык_дробовики[[#This Row],[точность]]+G222</f>
        <v>0.01</v>
      </c>
      <c r="H223" s="270"/>
      <c r="I223" s="271">
        <f>Таблица_навык_дробовики[[#This Row],[дальность]]+I222</f>
        <v>0.02</v>
      </c>
      <c r="J223" s="3"/>
      <c r="M223" s="3"/>
      <c r="N223" s="3"/>
      <c r="O223" s="3"/>
      <c r="Q223" s="115">
        <v>7</v>
      </c>
      <c r="R223" s="116">
        <v>35000</v>
      </c>
      <c r="S223" s="128">
        <f>Таблица_навык_щиты[[#This Row],[опыт]]+S222</f>
        <v>121000</v>
      </c>
      <c r="T223" s="260">
        <v>0.04</v>
      </c>
      <c r="U223" s="261">
        <f>Таблица_навык_щиты[[#This Row],[броня щита]]+U222</f>
        <v>0.23</v>
      </c>
      <c r="W223" s="115">
        <v>7</v>
      </c>
      <c r="X223" s="116">
        <v>47000</v>
      </c>
      <c r="Y223" s="146">
        <f>Таблица_навык_сопрт._эфф.[[#This Row],[опыт ]]+Y222</f>
        <v>175000</v>
      </c>
      <c r="Z223" s="268">
        <v>4</v>
      </c>
      <c r="AA223" s="308">
        <f>Таблица_навык_сопрт._эфф.[[#This Row],[сопр. Эфф. ]]+AA222</f>
        <v>28</v>
      </c>
    </row>
    <row r="224" spans="1:27" x14ac:dyDescent="0.25">
      <c r="A224" s="115">
        <v>8</v>
      </c>
      <c r="B224" s="116">
        <v>44000</v>
      </c>
      <c r="C224" s="128">
        <f>Таблица_навык_дробовики[[#This Row],[опыт]]+C223</f>
        <v>194000</v>
      </c>
      <c r="D224" s="260"/>
      <c r="E224" s="261">
        <f>Таблица_навык_дробовики[[#This Row],[урон]]+E223</f>
        <v>0.02</v>
      </c>
      <c r="F224" s="260">
        <v>0.01</v>
      </c>
      <c r="G224" s="271">
        <f>Таблица_навык_дробовики[[#This Row],[точность]]+G223</f>
        <v>0.02</v>
      </c>
      <c r="H224" s="270"/>
      <c r="I224" s="271">
        <f>Таблица_навык_дробовики[[#This Row],[дальность]]+I223</f>
        <v>0.02</v>
      </c>
      <c r="J224" s="3"/>
      <c r="M224" s="3"/>
      <c r="N224" s="3"/>
      <c r="O224" s="3"/>
      <c r="Q224" s="115">
        <v>8</v>
      </c>
      <c r="R224" s="116">
        <v>47000</v>
      </c>
      <c r="S224" s="128">
        <f>Таблица_навык_щиты[[#This Row],[опыт]]+S223</f>
        <v>168000</v>
      </c>
      <c r="T224" s="260">
        <v>0.04</v>
      </c>
      <c r="U224" s="261">
        <f>Таблица_навык_щиты[[#This Row],[броня щита]]+U223</f>
        <v>0.27</v>
      </c>
      <c r="W224" s="115">
        <v>8</v>
      </c>
      <c r="X224" s="116">
        <v>59000</v>
      </c>
      <c r="Y224" s="146">
        <f>Таблица_навык_сопрт._эфф.[[#This Row],[опыт ]]+Y223</f>
        <v>234000</v>
      </c>
      <c r="Z224" s="268">
        <v>4</v>
      </c>
      <c r="AA224" s="308">
        <f>Таблица_навык_сопрт._эфф.[[#This Row],[сопр. Эфф. ]]+AA223</f>
        <v>32</v>
      </c>
    </row>
    <row r="225" spans="1:27" x14ac:dyDescent="0.25">
      <c r="A225" s="115">
        <v>9</v>
      </c>
      <c r="B225" s="132">
        <v>53000</v>
      </c>
      <c r="C225" s="128">
        <f>Таблица_навык_дробовики[[#This Row],[опыт]]+C224</f>
        <v>247000</v>
      </c>
      <c r="D225" s="260"/>
      <c r="E225" s="261">
        <f>Таблица_навык_дробовики[[#This Row],[урон]]+E224</f>
        <v>0.02</v>
      </c>
      <c r="F225" s="260"/>
      <c r="G225" s="271">
        <f>Таблица_навык_дробовики[[#This Row],[точность]]+G224</f>
        <v>0.02</v>
      </c>
      <c r="H225" s="270">
        <v>0.02</v>
      </c>
      <c r="I225" s="271">
        <f>Таблица_навык_дробовики[[#This Row],[дальность]]+I224</f>
        <v>0.04</v>
      </c>
      <c r="J225" s="3"/>
      <c r="M225" s="3"/>
      <c r="N225" s="3"/>
      <c r="O225" s="3"/>
      <c r="Q225" s="115">
        <v>9</v>
      </c>
      <c r="R225" s="116">
        <v>60000</v>
      </c>
      <c r="S225" s="128">
        <f>Таблица_навык_щиты[[#This Row],[опыт]]+S224</f>
        <v>228000</v>
      </c>
      <c r="T225" s="260">
        <v>0.04</v>
      </c>
      <c r="U225" s="261">
        <f>Таблица_навык_щиты[[#This Row],[броня щита]]+U224</f>
        <v>0.31</v>
      </c>
      <c r="W225" s="115">
        <v>9</v>
      </c>
      <c r="X225" s="116">
        <v>72000</v>
      </c>
      <c r="Y225" s="146">
        <f>Таблица_навык_сопрт._эфф.[[#This Row],[опыт ]]+Y224</f>
        <v>306000</v>
      </c>
      <c r="Z225" s="268">
        <v>4</v>
      </c>
      <c r="AA225" s="308">
        <f>Таблица_навык_сопрт._эфф.[[#This Row],[сопр. Эфф. ]]+AA224</f>
        <v>36</v>
      </c>
    </row>
    <row r="226" spans="1:27" x14ac:dyDescent="0.25">
      <c r="A226" s="115">
        <v>10</v>
      </c>
      <c r="B226" s="116">
        <v>62000</v>
      </c>
      <c r="C226" s="128">
        <f>Таблица_навык_дробовики[[#This Row],[опыт]]+C225</f>
        <v>309000</v>
      </c>
      <c r="D226" s="260"/>
      <c r="E226" s="261">
        <f>Таблица_навык_дробовики[[#This Row],[урон]]+E225</f>
        <v>0.02</v>
      </c>
      <c r="F226" s="260"/>
      <c r="G226" s="271">
        <f>Таблица_навык_дробовики[[#This Row],[точность]]+G225</f>
        <v>0.02</v>
      </c>
      <c r="H226" s="270"/>
      <c r="I226" s="271">
        <f>Таблица_навык_дробовики[[#This Row],[дальность]]+I225</f>
        <v>0.04</v>
      </c>
      <c r="J226" s="3"/>
      <c r="M226" s="3"/>
      <c r="N226" s="3"/>
      <c r="O226" s="3"/>
      <c r="Q226" s="115">
        <v>10</v>
      </c>
      <c r="R226" s="116">
        <v>78000</v>
      </c>
      <c r="S226" s="128">
        <f>Таблица_навык_щиты[[#This Row],[опыт]]+S225</f>
        <v>306000</v>
      </c>
      <c r="T226" s="260">
        <v>0.04</v>
      </c>
      <c r="U226" s="261">
        <f>Таблица_навык_щиты[[#This Row],[броня щита]]+U225</f>
        <v>0.35</v>
      </c>
      <c r="W226" s="115">
        <v>10</v>
      </c>
      <c r="X226" s="116">
        <v>88000</v>
      </c>
      <c r="Y226" s="146">
        <f>Таблица_навык_сопрт._эфф.[[#This Row],[опыт ]]+Y225</f>
        <v>394000</v>
      </c>
      <c r="Z226" s="268">
        <v>4</v>
      </c>
      <c r="AA226" s="308">
        <f>Таблица_навык_сопрт._эфф.[[#This Row],[сопр. Эфф. ]]+AA225</f>
        <v>40</v>
      </c>
    </row>
    <row r="227" spans="1:27" x14ac:dyDescent="0.25">
      <c r="A227" s="115">
        <v>11</v>
      </c>
      <c r="B227" s="132">
        <v>74000</v>
      </c>
      <c r="C227" s="128">
        <f>Таблица_навык_дробовики[[#This Row],[опыт]]+C226</f>
        <v>383000</v>
      </c>
      <c r="D227" s="260">
        <v>0.01</v>
      </c>
      <c r="E227" s="261">
        <f>Таблица_навык_дробовики[[#This Row],[урон]]+E226</f>
        <v>0.03</v>
      </c>
      <c r="F227" s="260"/>
      <c r="G227" s="271">
        <f>Таблица_навык_дробовики[[#This Row],[точность]]+G226</f>
        <v>0.02</v>
      </c>
      <c r="H227" s="270"/>
      <c r="I227" s="271">
        <f>Таблица_навык_дробовики[[#This Row],[дальность]]+I226</f>
        <v>0.04</v>
      </c>
      <c r="J227" s="3"/>
      <c r="M227" s="3"/>
      <c r="N227" s="3"/>
      <c r="O227" s="3"/>
      <c r="Q227" s="115">
        <v>11</v>
      </c>
      <c r="R227" s="116">
        <v>99000</v>
      </c>
      <c r="S227" s="128">
        <f>Таблица_навык_щиты[[#This Row],[опыт]]+S226</f>
        <v>405000</v>
      </c>
      <c r="T227" s="260">
        <v>0.05</v>
      </c>
      <c r="U227" s="261">
        <f>Таблица_навык_щиты[[#This Row],[броня щита]]+U226</f>
        <v>0.39999999999999997</v>
      </c>
      <c r="W227" s="115">
        <v>11</v>
      </c>
      <c r="X227" s="116">
        <v>107000</v>
      </c>
      <c r="Y227" s="146">
        <f>Таблица_навык_сопрт._эфф.[[#This Row],[опыт ]]+Y226</f>
        <v>501000</v>
      </c>
      <c r="Z227" s="268">
        <v>4</v>
      </c>
      <c r="AA227" s="308">
        <f>Таблица_навык_сопрт._эфф.[[#This Row],[сопр. Эфф. ]]+AA226</f>
        <v>44</v>
      </c>
    </row>
    <row r="228" spans="1:27" x14ac:dyDescent="0.25">
      <c r="A228" s="115">
        <v>12</v>
      </c>
      <c r="B228" s="116">
        <v>86000</v>
      </c>
      <c r="C228" s="128">
        <f>Таблица_навык_дробовики[[#This Row],[опыт]]+C227</f>
        <v>469000</v>
      </c>
      <c r="D228" s="260"/>
      <c r="E228" s="261">
        <f>Таблица_навык_дробовики[[#This Row],[урон]]+E227</f>
        <v>0.03</v>
      </c>
      <c r="F228" s="260">
        <v>0.01</v>
      </c>
      <c r="G228" s="271">
        <f>Таблица_навык_дробовики[[#This Row],[точность]]+G227</f>
        <v>0.03</v>
      </c>
      <c r="H228" s="270"/>
      <c r="I228" s="271">
        <f>Таблица_навык_дробовики[[#This Row],[дальность]]+I227</f>
        <v>0.04</v>
      </c>
      <c r="J228" s="3"/>
      <c r="M228" s="3"/>
      <c r="N228" s="3"/>
      <c r="O228" s="3"/>
      <c r="Q228" s="115">
        <v>12</v>
      </c>
      <c r="R228" s="116">
        <v>126000</v>
      </c>
      <c r="S228" s="128">
        <f>Таблица_навык_щиты[[#This Row],[опыт]]+S227</f>
        <v>531000</v>
      </c>
      <c r="T228" s="260">
        <v>0.05</v>
      </c>
      <c r="U228" s="261">
        <f>Таблица_навык_щиты[[#This Row],[броня щита]]+U227</f>
        <v>0.44999999999999996</v>
      </c>
      <c r="W228" s="115">
        <v>12</v>
      </c>
      <c r="X228" s="116">
        <v>130000</v>
      </c>
      <c r="Y228" s="146">
        <f>Таблица_навык_сопрт._эфф.[[#This Row],[опыт ]]+Y227</f>
        <v>631000</v>
      </c>
      <c r="Z228" s="268">
        <v>4</v>
      </c>
      <c r="AA228" s="308">
        <f>Таблица_навык_сопрт._эфф.[[#This Row],[сопр. Эфф. ]]+AA227</f>
        <v>48</v>
      </c>
    </row>
    <row r="229" spans="1:27" x14ac:dyDescent="0.25">
      <c r="A229" s="115">
        <v>13</v>
      </c>
      <c r="B229" s="132">
        <v>102000</v>
      </c>
      <c r="C229" s="128">
        <f>Таблица_навык_дробовики[[#This Row],[опыт]]+C228</f>
        <v>571000</v>
      </c>
      <c r="D229" s="260"/>
      <c r="E229" s="261">
        <f>Таблица_навык_дробовики[[#This Row],[урон]]+E228</f>
        <v>0.03</v>
      </c>
      <c r="F229" s="260"/>
      <c r="G229" s="271">
        <f>Таблица_навык_дробовики[[#This Row],[точность]]+G228</f>
        <v>0.03</v>
      </c>
      <c r="H229" s="270">
        <v>0.02</v>
      </c>
      <c r="I229" s="271">
        <f>Таблица_навык_дробовики[[#This Row],[дальность]]+I228</f>
        <v>0.06</v>
      </c>
      <c r="J229" s="3"/>
      <c r="M229" s="3"/>
      <c r="N229" s="3"/>
      <c r="O229" s="3"/>
      <c r="Q229" s="115">
        <v>13</v>
      </c>
      <c r="R229" s="116">
        <v>160000</v>
      </c>
      <c r="S229" s="128">
        <f>Таблица_навык_щиты[[#This Row],[опыт]]+S228</f>
        <v>691000</v>
      </c>
      <c r="T229" s="260">
        <v>0.05</v>
      </c>
      <c r="U229" s="261">
        <f>Таблица_навык_щиты[[#This Row],[броня щита]]+U228</f>
        <v>0.49999999999999994</v>
      </c>
      <c r="W229" s="115">
        <v>13</v>
      </c>
      <c r="X229" s="116">
        <v>158000</v>
      </c>
      <c r="Y229" s="146">
        <f>Таблица_навык_сопрт._эфф.[[#This Row],[опыт ]]+Y228</f>
        <v>789000</v>
      </c>
      <c r="Z229" s="268">
        <v>4</v>
      </c>
      <c r="AA229" s="308">
        <f>Таблица_навык_сопрт._эфф.[[#This Row],[сопр. Эфф. ]]+AA228</f>
        <v>52</v>
      </c>
    </row>
    <row r="230" spans="1:27" x14ac:dyDescent="0.25">
      <c r="A230" s="115">
        <v>14</v>
      </c>
      <c r="B230" s="116">
        <v>119000</v>
      </c>
      <c r="C230" s="128">
        <f>Таблица_навык_дробовики[[#This Row],[опыт]]+C229</f>
        <v>690000</v>
      </c>
      <c r="D230" s="260"/>
      <c r="E230" s="261">
        <f>Таблица_навык_дробовики[[#This Row],[урон]]+E229</f>
        <v>0.03</v>
      </c>
      <c r="F230" s="260"/>
      <c r="G230" s="271">
        <f>Таблица_навык_дробовики[[#This Row],[точность]]+G229</f>
        <v>0.03</v>
      </c>
      <c r="H230" s="270"/>
      <c r="I230" s="271">
        <f>Таблица_навык_дробовики[[#This Row],[дальность]]+I229</f>
        <v>0.06</v>
      </c>
      <c r="J230" s="3"/>
      <c r="M230" s="3"/>
      <c r="N230" s="3"/>
      <c r="O230" s="3"/>
      <c r="Q230" s="115">
        <v>14</v>
      </c>
      <c r="R230" s="116">
        <v>204000</v>
      </c>
      <c r="S230" s="128">
        <f>Таблица_навык_щиты[[#This Row],[опыт]]+S229</f>
        <v>895000</v>
      </c>
      <c r="T230" s="260">
        <v>0.05</v>
      </c>
      <c r="U230" s="261">
        <f>Таблица_навык_щиты[[#This Row],[броня щита]]+U229</f>
        <v>0.54999999999999993</v>
      </c>
      <c r="W230" s="115">
        <v>14</v>
      </c>
      <c r="X230" s="116">
        <v>191000</v>
      </c>
      <c r="Y230" s="146">
        <f>Таблица_навык_сопрт._эфф.[[#This Row],[опыт ]]+Y229</f>
        <v>980000</v>
      </c>
      <c r="Z230" s="268">
        <v>4</v>
      </c>
      <c r="AA230" s="308">
        <f>Таблица_навык_сопрт._эфф.[[#This Row],[сопр. Эфф. ]]+AA229</f>
        <v>56</v>
      </c>
    </row>
    <row r="231" spans="1:27" x14ac:dyDescent="0.25">
      <c r="A231" s="115">
        <v>15</v>
      </c>
      <c r="B231" s="132">
        <v>139000</v>
      </c>
      <c r="C231" s="128">
        <f>Таблица_навык_дробовики[[#This Row],[опыт]]+C230</f>
        <v>829000</v>
      </c>
      <c r="D231" s="260">
        <v>0.01</v>
      </c>
      <c r="E231" s="261">
        <f>Таблица_навык_дробовики[[#This Row],[урон]]+E230</f>
        <v>0.04</v>
      </c>
      <c r="F231" s="260"/>
      <c r="G231" s="271">
        <f>Таблица_навык_дробовики[[#This Row],[точность]]+G230</f>
        <v>0.03</v>
      </c>
      <c r="H231" s="270"/>
      <c r="I231" s="271">
        <f>Таблица_навык_дробовики[[#This Row],[дальность]]+I230</f>
        <v>0.06</v>
      </c>
      <c r="J231" s="3"/>
      <c r="M231" s="3"/>
      <c r="N231" s="3"/>
      <c r="O231" s="3"/>
      <c r="Q231" s="115">
        <v>15</v>
      </c>
      <c r="R231" s="116">
        <v>257000</v>
      </c>
      <c r="S231" s="128">
        <f>Таблица_навык_щиты[[#This Row],[опыт]]+S230</f>
        <v>1152000</v>
      </c>
      <c r="T231" s="260">
        <v>0.05</v>
      </c>
      <c r="U231" s="261">
        <f>Таблица_навык_щиты[[#This Row],[броня щита]]+U230</f>
        <v>0.6</v>
      </c>
      <c r="W231" s="115">
        <v>15</v>
      </c>
      <c r="X231" s="116">
        <v>230000</v>
      </c>
      <c r="Y231" s="146">
        <f>Таблица_навык_сопрт._эфф.[[#This Row],[опыт ]]+Y230</f>
        <v>1210000</v>
      </c>
      <c r="Z231" s="268">
        <v>4</v>
      </c>
      <c r="AA231" s="308">
        <f>Таблица_навык_сопрт._эфф.[[#This Row],[сопр. Эфф. ]]+AA230</f>
        <v>60</v>
      </c>
    </row>
    <row r="232" spans="1:27" x14ac:dyDescent="0.25">
      <c r="A232" s="115">
        <v>16</v>
      </c>
      <c r="B232" s="116">
        <v>162000</v>
      </c>
      <c r="C232" s="128">
        <f>Таблица_навык_дробовики[[#This Row],[опыт]]+C231</f>
        <v>991000</v>
      </c>
      <c r="D232" s="260"/>
      <c r="E232" s="261">
        <f>Таблица_навык_дробовики[[#This Row],[урон]]+E231</f>
        <v>0.04</v>
      </c>
      <c r="F232" s="260">
        <v>0.01</v>
      </c>
      <c r="G232" s="271">
        <f>Таблица_навык_дробовики[[#This Row],[точность]]+G231</f>
        <v>0.04</v>
      </c>
      <c r="H232" s="270"/>
      <c r="I232" s="271">
        <f>Таблица_навык_дробовики[[#This Row],[дальность]]+I231</f>
        <v>0.06</v>
      </c>
      <c r="J232" s="3"/>
      <c r="M232" s="3"/>
      <c r="N232" s="3"/>
      <c r="O232" s="3"/>
      <c r="Q232" s="115">
        <v>16</v>
      </c>
      <c r="R232" s="116">
        <v>323000</v>
      </c>
      <c r="S232" s="128">
        <f>Таблица_навык_щиты[[#This Row],[опыт]]+S231</f>
        <v>1475000</v>
      </c>
      <c r="T232" s="260">
        <v>0.06</v>
      </c>
      <c r="U232" s="261">
        <f>Таблица_навык_щиты[[#This Row],[броня щита]]+U231</f>
        <v>0.65999999999999992</v>
      </c>
      <c r="W232" s="115">
        <v>16</v>
      </c>
      <c r="X232" s="116">
        <v>276000</v>
      </c>
      <c r="Y232" s="146">
        <f>Таблица_навык_сопрт._эфф.[[#This Row],[опыт ]]+Y231</f>
        <v>1486000</v>
      </c>
      <c r="Z232" s="268">
        <v>4</v>
      </c>
      <c r="AA232" s="308">
        <f>Таблица_навык_сопрт._эфф.[[#This Row],[сопр. Эфф. ]]+AA231</f>
        <v>64</v>
      </c>
    </row>
    <row r="233" spans="1:27" x14ac:dyDescent="0.25">
      <c r="A233" s="115">
        <v>17</v>
      </c>
      <c r="B233" s="132">
        <v>189000</v>
      </c>
      <c r="C233" s="128">
        <f>Таблица_навык_дробовики[[#This Row],[опыт]]+C232</f>
        <v>1180000</v>
      </c>
      <c r="D233" s="260"/>
      <c r="E233" s="261">
        <f>Таблица_навык_дробовики[[#This Row],[урон]]+E232</f>
        <v>0.04</v>
      </c>
      <c r="F233" s="260"/>
      <c r="G233" s="271">
        <f>Таблица_навык_дробовики[[#This Row],[точность]]+G232</f>
        <v>0.04</v>
      </c>
      <c r="H233" s="270"/>
      <c r="I233" s="271">
        <f>Таблица_навык_дробовики[[#This Row],[дальность]]+I232</f>
        <v>0.06</v>
      </c>
      <c r="J233" s="3"/>
      <c r="M233" s="3"/>
      <c r="N233" s="3"/>
      <c r="O233" s="3"/>
      <c r="Q233" s="115">
        <v>17</v>
      </c>
      <c r="R233" s="116">
        <v>407000</v>
      </c>
      <c r="S233" s="128">
        <f>Таблица_навык_щиты[[#This Row],[опыт]]+S232</f>
        <v>1882000</v>
      </c>
      <c r="T233" s="260">
        <v>0.06</v>
      </c>
      <c r="U233" s="261">
        <f>Таблица_навык_щиты[[#This Row],[броня щита]]+U232</f>
        <v>0.72</v>
      </c>
      <c r="W233" s="115">
        <v>17</v>
      </c>
      <c r="X233" s="116">
        <v>332000</v>
      </c>
      <c r="Y233" s="146">
        <f>Таблица_навык_сопрт._эфф.[[#This Row],[опыт ]]+Y232</f>
        <v>1818000</v>
      </c>
      <c r="Z233" s="268">
        <v>4</v>
      </c>
      <c r="AA233" s="308">
        <f>Таблица_навык_сопрт._эфф.[[#This Row],[сопр. Эфф. ]]+AA232</f>
        <v>68</v>
      </c>
    </row>
    <row r="234" spans="1:27" x14ac:dyDescent="0.25">
      <c r="A234" s="115">
        <v>18</v>
      </c>
      <c r="B234" s="116">
        <v>220000</v>
      </c>
      <c r="C234" s="128">
        <f>Таблица_навык_дробовики[[#This Row],[опыт]]+C233</f>
        <v>1400000</v>
      </c>
      <c r="D234" s="260"/>
      <c r="E234" s="261">
        <f>Таблица_навык_дробовики[[#This Row],[урон]]+E233</f>
        <v>0.04</v>
      </c>
      <c r="F234" s="260"/>
      <c r="G234" s="271">
        <f>Таблица_навык_дробовики[[#This Row],[точность]]+G233</f>
        <v>0.04</v>
      </c>
      <c r="H234" s="270">
        <v>0.02</v>
      </c>
      <c r="I234" s="271">
        <f>Таблица_навык_дробовики[[#This Row],[дальность]]+I233</f>
        <v>0.08</v>
      </c>
      <c r="J234" s="3"/>
      <c r="M234" s="3"/>
      <c r="N234" s="3"/>
      <c r="O234" s="3"/>
      <c r="Q234" s="115">
        <v>18</v>
      </c>
      <c r="R234" s="116">
        <v>510000</v>
      </c>
      <c r="S234" s="128">
        <f>Таблица_навык_щиты[[#This Row],[опыт]]+S233</f>
        <v>2392000</v>
      </c>
      <c r="T234" s="260">
        <v>0.06</v>
      </c>
      <c r="U234" s="261">
        <f>Таблица_навык_щиты[[#This Row],[броня щита]]+U233</f>
        <v>0.78</v>
      </c>
      <c r="W234" s="115">
        <v>18</v>
      </c>
      <c r="X234" s="116">
        <v>399000</v>
      </c>
      <c r="Y234" s="146">
        <f>Таблица_навык_сопрт._эфф.[[#This Row],[опыт ]]+Y233</f>
        <v>2217000</v>
      </c>
      <c r="Z234" s="268">
        <v>4</v>
      </c>
      <c r="AA234" s="308">
        <f>Таблица_навык_сопрт._эфф.[[#This Row],[сопр. Эфф. ]]+AA233</f>
        <v>72</v>
      </c>
    </row>
    <row r="235" spans="1:27" x14ac:dyDescent="0.25">
      <c r="A235" s="115">
        <v>19</v>
      </c>
      <c r="B235" s="132">
        <v>255000</v>
      </c>
      <c r="C235" s="128">
        <f>Таблица_навык_дробовики[[#This Row],[опыт]]+C234</f>
        <v>1655000</v>
      </c>
      <c r="D235" s="260"/>
      <c r="E235" s="261">
        <f>Таблица_навык_дробовики[[#This Row],[урон]]+E234</f>
        <v>0.04</v>
      </c>
      <c r="F235" s="260"/>
      <c r="G235" s="271">
        <f>Таблица_навык_дробовики[[#This Row],[точность]]+G234</f>
        <v>0.04</v>
      </c>
      <c r="H235" s="270"/>
      <c r="I235" s="271">
        <f>Таблица_навык_дробовики[[#This Row],[дальность]]+I234</f>
        <v>0.08</v>
      </c>
      <c r="J235" s="3"/>
      <c r="M235" s="3"/>
      <c r="N235" s="3"/>
      <c r="O235" s="3"/>
      <c r="Q235" s="115">
        <v>19</v>
      </c>
      <c r="R235" s="116">
        <v>639000</v>
      </c>
      <c r="S235" s="128">
        <f>Таблица_навык_щиты[[#This Row],[опыт]]+S234</f>
        <v>3031000</v>
      </c>
      <c r="T235" s="260">
        <v>0.06</v>
      </c>
      <c r="U235" s="261">
        <f>Таблица_навык_щиты[[#This Row],[броня щита]]+U234</f>
        <v>0.84000000000000008</v>
      </c>
      <c r="W235" s="115">
        <v>19</v>
      </c>
      <c r="X235" s="116">
        <v>476000</v>
      </c>
      <c r="Y235" s="146">
        <f>Таблица_навык_сопрт._эфф.[[#This Row],[опыт ]]+Y234</f>
        <v>2693000</v>
      </c>
      <c r="Z235" s="268">
        <v>4</v>
      </c>
      <c r="AA235" s="308">
        <f>Таблица_навык_сопрт._эфф.[[#This Row],[сопр. Эфф. ]]+AA234</f>
        <v>76</v>
      </c>
    </row>
    <row r="236" spans="1:27" x14ac:dyDescent="0.25">
      <c r="A236" s="115">
        <v>20</v>
      </c>
      <c r="B236" s="116">
        <v>295000</v>
      </c>
      <c r="C236" s="128">
        <f>Таблица_навык_дробовики[[#This Row],[опыт]]+C235</f>
        <v>1950000</v>
      </c>
      <c r="D236" s="260">
        <v>0.01</v>
      </c>
      <c r="E236" s="261">
        <f>Таблица_навык_дробовики[[#This Row],[урон]]+E235</f>
        <v>0.05</v>
      </c>
      <c r="F236" s="260"/>
      <c r="G236" s="271">
        <f>Таблица_навык_дробовики[[#This Row],[точность]]+G235</f>
        <v>0.04</v>
      </c>
      <c r="H236" s="270"/>
      <c r="I236" s="271">
        <f>Таблица_навык_дробовики[[#This Row],[дальность]]+I235</f>
        <v>0.08</v>
      </c>
      <c r="J236" s="3"/>
      <c r="M236" s="3"/>
      <c r="N236" s="3"/>
      <c r="O236" s="3"/>
      <c r="Q236" s="115">
        <v>20</v>
      </c>
      <c r="R236" s="116">
        <v>799000</v>
      </c>
      <c r="S236" s="128">
        <f>Таблица_навык_щиты[[#This Row],[опыт]]+S235</f>
        <v>3830000</v>
      </c>
      <c r="T236" s="260">
        <v>0.06</v>
      </c>
      <c r="U236" s="261">
        <f>Таблица_навык_щиты[[#This Row],[броня щита]]+U235</f>
        <v>0.90000000000000013</v>
      </c>
      <c r="W236" s="115">
        <v>20</v>
      </c>
      <c r="X236" s="116">
        <v>569000</v>
      </c>
      <c r="Y236" s="146">
        <f>Таблица_навык_сопрт._эфф.[[#This Row],[опыт ]]+Y235</f>
        <v>3262000</v>
      </c>
      <c r="Z236" s="268">
        <v>4</v>
      </c>
      <c r="AA236" s="308">
        <f>Таблица_навык_сопрт._эфф.[[#This Row],[сопр. Эфф. ]]+AA235</f>
        <v>80</v>
      </c>
    </row>
    <row r="237" spans="1:27" x14ac:dyDescent="0.25">
      <c r="A237" s="115">
        <v>21</v>
      </c>
      <c r="B237" s="132">
        <v>343000</v>
      </c>
      <c r="C237" s="128">
        <f>Таблица_навык_дробовики[[#This Row],[опыт]]+C236</f>
        <v>2293000</v>
      </c>
      <c r="D237" s="260"/>
      <c r="E237" s="261">
        <f>Таблица_навык_дробовики[[#This Row],[урон]]+E236</f>
        <v>0.05</v>
      </c>
      <c r="F237" s="260"/>
      <c r="G237" s="271">
        <f>Таблица_навык_дробовики[[#This Row],[точность]]+G236</f>
        <v>0.04</v>
      </c>
      <c r="H237" s="270"/>
      <c r="I237" s="271">
        <f>Таблица_навык_дробовики[[#This Row],[дальность]]+I236</f>
        <v>0.08</v>
      </c>
      <c r="J237" s="3"/>
      <c r="M237" s="3"/>
      <c r="N237" s="3"/>
      <c r="O237" s="3"/>
      <c r="Q237" s="115">
        <v>21</v>
      </c>
      <c r="R237" s="116">
        <v>997000</v>
      </c>
      <c r="S237" s="128">
        <f>Таблица_навык_щиты[[#This Row],[опыт]]+S236</f>
        <v>4827000</v>
      </c>
      <c r="T237" s="260">
        <v>7.0000000000000007E-2</v>
      </c>
      <c r="U237" s="261">
        <f>Таблица_навык_щиты[[#This Row],[броня щита]]+U236</f>
        <v>0.9700000000000002</v>
      </c>
      <c r="W237" s="115">
        <v>21</v>
      </c>
      <c r="X237" s="116">
        <v>680000</v>
      </c>
      <c r="Y237" s="146">
        <f>Таблица_навык_сопрт._эфф.[[#This Row],[опыт ]]+Y236</f>
        <v>3942000</v>
      </c>
      <c r="Z237" s="268">
        <v>4</v>
      </c>
      <c r="AA237" s="308">
        <f>Таблица_навык_сопрт._эфф.[[#This Row],[сопр. Эфф. ]]+AA236</f>
        <v>84</v>
      </c>
    </row>
    <row r="238" spans="1:27" x14ac:dyDescent="0.25">
      <c r="A238" s="115">
        <v>22</v>
      </c>
      <c r="B238" s="116">
        <v>396000</v>
      </c>
      <c r="C238" s="128">
        <f>Таблица_навык_дробовики[[#This Row],[опыт]]+C237</f>
        <v>2689000</v>
      </c>
      <c r="D238" s="260"/>
      <c r="E238" s="261">
        <f>Таблица_навык_дробовики[[#This Row],[урон]]+E237</f>
        <v>0.05</v>
      </c>
      <c r="F238" s="260">
        <v>0.01</v>
      </c>
      <c r="G238" s="271">
        <f>Таблица_навык_дробовики[[#This Row],[точность]]+G237</f>
        <v>0.05</v>
      </c>
      <c r="H238" s="270"/>
      <c r="I238" s="271">
        <f>Таблица_навык_дробовики[[#This Row],[дальность]]+I237</f>
        <v>0.08</v>
      </c>
      <c r="Q238" s="115">
        <v>22</v>
      </c>
      <c r="R238" s="116">
        <v>1242000</v>
      </c>
      <c r="S238" s="128">
        <f>Таблица_навык_щиты[[#This Row],[опыт]]+S237</f>
        <v>6069000</v>
      </c>
      <c r="T238" s="260">
        <v>7.0000000000000007E-2</v>
      </c>
      <c r="U238" s="261">
        <f>Таблица_навык_щиты[[#This Row],[броня щита]]+U237</f>
        <v>1.0400000000000003</v>
      </c>
      <c r="W238" s="115">
        <v>22</v>
      </c>
      <c r="X238" s="116">
        <v>809000</v>
      </c>
      <c r="Y238" s="146">
        <f>Таблица_навык_сопрт._эфф.[[#This Row],[опыт ]]+Y237</f>
        <v>4751000</v>
      </c>
      <c r="Z238" s="268">
        <v>4</v>
      </c>
      <c r="AA238" s="308">
        <f>Таблица_навык_сопрт._эфф.[[#This Row],[сопр. Эфф. ]]+AA237</f>
        <v>88</v>
      </c>
    </row>
    <row r="239" spans="1:27" x14ac:dyDescent="0.25">
      <c r="A239" s="115">
        <v>23</v>
      </c>
      <c r="B239" s="132">
        <v>457000</v>
      </c>
      <c r="C239" s="128">
        <f>Таблица_навык_дробовики[[#This Row],[опыт]]+C238</f>
        <v>3146000</v>
      </c>
      <c r="D239" s="260"/>
      <c r="E239" s="261">
        <f>Таблица_навык_дробовики[[#This Row],[урон]]+E238</f>
        <v>0.05</v>
      </c>
      <c r="F239" s="260"/>
      <c r="G239" s="271">
        <f>Таблица_навык_дробовики[[#This Row],[точность]]+G238</f>
        <v>0.05</v>
      </c>
      <c r="H239" s="270"/>
      <c r="I239" s="271">
        <f>Таблица_навык_дробовики[[#This Row],[дальность]]+I238</f>
        <v>0.08</v>
      </c>
      <c r="Q239" s="115">
        <v>23</v>
      </c>
      <c r="R239" s="116">
        <v>1545000</v>
      </c>
      <c r="S239" s="128">
        <f>Таблица_навык_щиты[[#This Row],[опыт]]+S238</f>
        <v>7614000</v>
      </c>
      <c r="T239" s="260">
        <v>7.0000000000000007E-2</v>
      </c>
      <c r="U239" s="261">
        <f>Таблица_навык_щиты[[#This Row],[броня щита]]+U238</f>
        <v>1.1100000000000003</v>
      </c>
      <c r="W239" s="115">
        <v>23</v>
      </c>
      <c r="X239" s="116">
        <v>963000</v>
      </c>
      <c r="Y239" s="146">
        <f>Таблица_навык_сопрт._эфф.[[#This Row],[опыт ]]+Y238</f>
        <v>5714000</v>
      </c>
      <c r="Z239" s="268">
        <v>4</v>
      </c>
      <c r="AA239" s="308">
        <f>Таблица_навык_сопрт._эфф.[[#This Row],[сопр. Эфф. ]]+AA238</f>
        <v>92</v>
      </c>
    </row>
    <row r="240" spans="1:27" x14ac:dyDescent="0.25">
      <c r="A240" s="115">
        <v>24</v>
      </c>
      <c r="B240" s="116">
        <v>528000</v>
      </c>
      <c r="C240" s="128">
        <f>Таблица_навык_дробовики[[#This Row],[опыт]]+C239</f>
        <v>3674000</v>
      </c>
      <c r="D240" s="260"/>
      <c r="E240" s="261">
        <f>Таблица_навык_дробовики[[#This Row],[урон]]+E239</f>
        <v>0.05</v>
      </c>
      <c r="F240" s="260"/>
      <c r="G240" s="271">
        <f>Таблица_навык_дробовики[[#This Row],[точность]]+G239</f>
        <v>0.05</v>
      </c>
      <c r="H240" s="270">
        <v>0.02</v>
      </c>
      <c r="I240" s="271">
        <f>Таблица_навык_дробовики[[#This Row],[дальность]]+I239</f>
        <v>0.1</v>
      </c>
      <c r="Q240" s="115">
        <v>24</v>
      </c>
      <c r="R240" s="116">
        <v>1922000</v>
      </c>
      <c r="S240" s="128">
        <f>Таблица_навык_щиты[[#This Row],[опыт]]+S239</f>
        <v>9536000</v>
      </c>
      <c r="T240" s="260">
        <v>7.0000000000000007E-2</v>
      </c>
      <c r="U240" s="261">
        <f>Таблица_навык_щиты[[#This Row],[броня щита]]+U239</f>
        <v>1.1800000000000004</v>
      </c>
      <c r="W240" s="115">
        <v>24</v>
      </c>
      <c r="X240" s="116">
        <v>1145000</v>
      </c>
      <c r="Y240" s="146">
        <f>Таблица_навык_сопрт._эфф.[[#This Row],[опыт ]]+Y239</f>
        <v>6859000</v>
      </c>
      <c r="Z240" s="268">
        <v>4</v>
      </c>
      <c r="AA240" s="308">
        <f>Таблица_навык_сопрт._эфф.[[#This Row],[сопр. Эфф. ]]+AA239</f>
        <v>96</v>
      </c>
    </row>
    <row r="241" spans="1:27" ht="16.5" thickBot="1" x14ac:dyDescent="0.3">
      <c r="A241" s="115">
        <v>25</v>
      </c>
      <c r="B241" s="132">
        <v>610000</v>
      </c>
      <c r="C241" s="128">
        <f>Таблица_навык_дробовики[[#This Row],[опыт]]+C240</f>
        <v>4284000</v>
      </c>
      <c r="D241" s="260"/>
      <c r="E241" s="261">
        <f>Таблица_навык_дробовики[[#This Row],[урон]]+E240</f>
        <v>0.05</v>
      </c>
      <c r="F241" s="260"/>
      <c r="G241" s="271">
        <f>Таблица_навык_дробовики[[#This Row],[точность]]+G240</f>
        <v>0.05</v>
      </c>
      <c r="H241" s="270"/>
      <c r="I241" s="271">
        <f>Таблица_навык_дробовики[[#This Row],[дальность]]+I240</f>
        <v>0.1</v>
      </c>
      <c r="Q241" s="118">
        <v>25</v>
      </c>
      <c r="R241" s="119">
        <v>2385000</v>
      </c>
      <c r="S241" s="257">
        <f>Таблица_навык_щиты[[#This Row],[опыт]]+S240</f>
        <v>11921000</v>
      </c>
      <c r="T241" s="266">
        <v>7.0000000000000007E-2</v>
      </c>
      <c r="U241" s="264">
        <f>Таблица_навык_щиты[[#This Row],[броня щита]]+U240</f>
        <v>1.2500000000000004</v>
      </c>
      <c r="W241" s="115">
        <v>25</v>
      </c>
      <c r="X241" s="116">
        <v>1360000</v>
      </c>
      <c r="Y241" s="146">
        <f>Таблица_навык_сопрт._эфф.[[#This Row],[опыт ]]+Y240</f>
        <v>8219000</v>
      </c>
      <c r="Z241" s="268">
        <v>4</v>
      </c>
      <c r="AA241" s="308">
        <f>Таблица_навык_сопрт._эфф.[[#This Row],[сопр. Эфф. ]]+AA240</f>
        <v>100</v>
      </c>
    </row>
    <row r="242" spans="1:27" x14ac:dyDescent="0.25">
      <c r="A242" s="115">
        <v>26</v>
      </c>
      <c r="B242" s="116">
        <v>701000</v>
      </c>
      <c r="C242" s="128">
        <f>Таблица_навык_дробовики[[#This Row],[опыт]]+C241</f>
        <v>4985000</v>
      </c>
      <c r="D242" s="260">
        <v>0.01</v>
      </c>
      <c r="E242" s="261">
        <f>Таблица_навык_дробовики[[#This Row],[урон]]+E241</f>
        <v>6.0000000000000005E-2</v>
      </c>
      <c r="F242" s="260"/>
      <c r="G242" s="271">
        <f>Таблица_навык_дробовики[[#This Row],[точность]]+G241</f>
        <v>0.05</v>
      </c>
      <c r="H242" s="270"/>
      <c r="I242" s="271">
        <f>Таблица_навык_дробовики[[#This Row],[дальность]]+I241</f>
        <v>0.1</v>
      </c>
      <c r="W242" s="115">
        <v>26</v>
      </c>
      <c r="X242" s="116">
        <v>1613000</v>
      </c>
      <c r="Y242" s="146">
        <f>Таблица_навык_сопрт._эфф.[[#This Row],[опыт ]]+Y241</f>
        <v>9832000</v>
      </c>
      <c r="Z242" s="268">
        <v>4</v>
      </c>
      <c r="AA242" s="308">
        <f>Таблица_навык_сопрт._эфф.[[#This Row],[сопр. Эфф. ]]+AA241</f>
        <v>104</v>
      </c>
    </row>
    <row r="243" spans="1:27" x14ac:dyDescent="0.25">
      <c r="A243" s="115">
        <v>27</v>
      </c>
      <c r="B243" s="132">
        <v>808000</v>
      </c>
      <c r="C243" s="128">
        <f>Таблица_навык_дробовики[[#This Row],[опыт]]+C242</f>
        <v>5793000</v>
      </c>
      <c r="D243" s="260"/>
      <c r="E243" s="261">
        <f>Таблица_навык_дробовики[[#This Row],[урон]]+E242</f>
        <v>6.0000000000000005E-2</v>
      </c>
      <c r="F243" s="260">
        <v>0.01</v>
      </c>
      <c r="G243" s="271">
        <f>Таблица_навык_дробовики[[#This Row],[точность]]+G242</f>
        <v>6.0000000000000005E-2</v>
      </c>
      <c r="H243" s="270"/>
      <c r="I243" s="271">
        <f>Таблица_навык_дробовики[[#This Row],[дальность]]+I242</f>
        <v>0.1</v>
      </c>
      <c r="W243" s="115">
        <v>27</v>
      </c>
      <c r="X243" s="116">
        <v>1912000</v>
      </c>
      <c r="Y243" s="146">
        <f>Таблица_навык_сопрт._эфф.[[#This Row],[опыт ]]+Y242</f>
        <v>11744000</v>
      </c>
      <c r="Z243" s="268">
        <v>4</v>
      </c>
      <c r="AA243" s="308">
        <f>Таблица_навык_сопрт._эфф.[[#This Row],[сопр. Эфф. ]]+AA242</f>
        <v>108</v>
      </c>
    </row>
    <row r="244" spans="1:27" x14ac:dyDescent="0.25">
      <c r="A244" s="115">
        <v>28</v>
      </c>
      <c r="B244" s="116">
        <v>929000</v>
      </c>
      <c r="C244" s="128">
        <f>Таблица_навык_дробовики[[#This Row],[опыт]]+C243</f>
        <v>6722000</v>
      </c>
      <c r="D244" s="260"/>
      <c r="E244" s="261">
        <f>Таблица_навык_дробовики[[#This Row],[урон]]+E243</f>
        <v>6.0000000000000005E-2</v>
      </c>
      <c r="F244" s="260"/>
      <c r="G244" s="271">
        <f>Таблица_навык_дробовики[[#This Row],[точность]]+G243</f>
        <v>6.0000000000000005E-2</v>
      </c>
      <c r="H244" s="270">
        <v>0.02</v>
      </c>
      <c r="I244" s="271">
        <f>Таблица_навык_дробовики[[#This Row],[дальность]]+I243</f>
        <v>0.12000000000000001</v>
      </c>
      <c r="W244" s="115">
        <v>28</v>
      </c>
      <c r="X244" s="116">
        <v>2263000</v>
      </c>
      <c r="Y244" s="146">
        <f>Таблица_навык_сопрт._эфф.[[#This Row],[опыт ]]+Y243</f>
        <v>14007000</v>
      </c>
      <c r="Z244" s="268">
        <v>4</v>
      </c>
      <c r="AA244" s="308">
        <f>Таблица_навык_сопрт._эфф.[[#This Row],[сопр. Эфф. ]]+AA243</f>
        <v>112</v>
      </c>
    </row>
    <row r="245" spans="1:27" x14ac:dyDescent="0.25">
      <c r="A245" s="115">
        <v>29</v>
      </c>
      <c r="B245" s="132">
        <v>1069000</v>
      </c>
      <c r="C245" s="128">
        <f>Таблица_навык_дробовики[[#This Row],[опыт]]+C244</f>
        <v>7791000</v>
      </c>
      <c r="D245" s="260"/>
      <c r="E245" s="261">
        <f>Таблица_навык_дробовики[[#This Row],[урон]]+E244</f>
        <v>6.0000000000000005E-2</v>
      </c>
      <c r="F245" s="260"/>
      <c r="G245" s="271">
        <f>Таблица_навык_дробовики[[#This Row],[точность]]+G244</f>
        <v>6.0000000000000005E-2</v>
      </c>
      <c r="H245" s="270"/>
      <c r="I245" s="271">
        <f>Таблица_навык_дробовики[[#This Row],[дальность]]+I244</f>
        <v>0.12000000000000001</v>
      </c>
      <c r="W245" s="115">
        <v>29</v>
      </c>
      <c r="X245" s="116">
        <v>2679000</v>
      </c>
      <c r="Y245" s="146">
        <f>Таблица_навык_сопрт._эфф.[[#This Row],[опыт ]]+Y244</f>
        <v>16686000</v>
      </c>
      <c r="Z245" s="268">
        <v>4</v>
      </c>
      <c r="AA245" s="308">
        <f>Таблица_навык_сопрт._эфф.[[#This Row],[сопр. Эфф. ]]+AA244</f>
        <v>116</v>
      </c>
    </row>
    <row r="246" spans="1:27" ht="16.5" thickBot="1" x14ac:dyDescent="0.3">
      <c r="A246" s="115">
        <v>30</v>
      </c>
      <c r="B246" s="116">
        <v>1226000</v>
      </c>
      <c r="C246" s="128">
        <f>Таблица_навык_дробовики[[#This Row],[опыт]]+C245</f>
        <v>9017000</v>
      </c>
      <c r="D246" s="260">
        <v>0.01</v>
      </c>
      <c r="E246" s="261">
        <f>Таблица_навык_дробовики[[#This Row],[урон]]+E245</f>
        <v>7.0000000000000007E-2</v>
      </c>
      <c r="F246" s="260"/>
      <c r="G246" s="271">
        <f>Таблица_навык_дробовики[[#This Row],[точность]]+G245</f>
        <v>6.0000000000000005E-2</v>
      </c>
      <c r="H246" s="270"/>
      <c r="I246" s="271">
        <f>Таблица_навык_дробовики[[#This Row],[дальность]]+I245</f>
        <v>0.12000000000000001</v>
      </c>
      <c r="W246" s="118">
        <v>30</v>
      </c>
      <c r="X246" s="119">
        <v>3167000</v>
      </c>
      <c r="Y246" s="274">
        <f>Таблица_навык_сопрт._эфф.[[#This Row],[опыт ]]+Y245</f>
        <v>19853000</v>
      </c>
      <c r="Z246" s="311">
        <v>4</v>
      </c>
      <c r="AA246" s="310">
        <f>Таблица_навык_сопрт._эфф.[[#This Row],[сопр. Эфф. ]]+AA245</f>
        <v>120</v>
      </c>
    </row>
    <row r="247" spans="1:27" x14ac:dyDescent="0.25">
      <c r="A247" s="115">
        <v>31</v>
      </c>
      <c r="B247" s="132">
        <v>1409000</v>
      </c>
      <c r="C247" s="128">
        <f>Таблица_навык_дробовики[[#This Row],[опыт]]+C246</f>
        <v>10426000</v>
      </c>
      <c r="D247" s="260"/>
      <c r="E247" s="261">
        <f>Таблица_навык_дробовики[[#This Row],[урон]]+E246</f>
        <v>7.0000000000000007E-2</v>
      </c>
      <c r="F247" s="260">
        <v>0.01</v>
      </c>
      <c r="G247" s="271">
        <f>Таблица_навык_дробовики[[#This Row],[точность]]+G246</f>
        <v>7.0000000000000007E-2</v>
      </c>
      <c r="H247" s="270"/>
      <c r="I247" s="271">
        <f>Таблица_навык_дробовики[[#This Row],[дальность]]+I246</f>
        <v>0.12000000000000001</v>
      </c>
    </row>
    <row r="248" spans="1:27" x14ac:dyDescent="0.25">
      <c r="A248" s="115">
        <v>32</v>
      </c>
      <c r="B248" s="116">
        <v>1615000</v>
      </c>
      <c r="C248" s="128">
        <f>Таблица_навык_дробовики[[#This Row],[опыт]]+C247</f>
        <v>12041000</v>
      </c>
      <c r="D248" s="260"/>
      <c r="E248" s="261">
        <f>Таблица_навык_дробовики[[#This Row],[урон]]+E247</f>
        <v>7.0000000000000007E-2</v>
      </c>
      <c r="F248" s="260"/>
      <c r="G248" s="271">
        <f>Таблица_навык_дробовики[[#This Row],[точность]]+G247</f>
        <v>7.0000000000000007E-2</v>
      </c>
      <c r="H248" s="270">
        <v>0.02</v>
      </c>
      <c r="I248" s="271">
        <f>Таблица_навык_дробовики[[#This Row],[дальность]]+I247</f>
        <v>0.14000000000000001</v>
      </c>
    </row>
    <row r="249" spans="1:27" x14ac:dyDescent="0.25">
      <c r="A249" s="115">
        <v>33</v>
      </c>
      <c r="B249" s="132">
        <v>1852000</v>
      </c>
      <c r="C249" s="128">
        <f>Таблица_навык_дробовики[[#This Row],[опыт]]+C248</f>
        <v>13893000</v>
      </c>
      <c r="D249" s="260">
        <v>0.01</v>
      </c>
      <c r="E249" s="261">
        <f>Таблица_навык_дробовики[[#This Row],[урон]]+E248</f>
        <v>0.08</v>
      </c>
      <c r="F249" s="260"/>
      <c r="G249" s="271">
        <f>Таблица_навык_дробовики[[#This Row],[точность]]+G248</f>
        <v>7.0000000000000007E-2</v>
      </c>
      <c r="H249" s="270"/>
      <c r="I249" s="271">
        <f>Таблица_навык_дробовики[[#This Row],[дальность]]+I248</f>
        <v>0.14000000000000001</v>
      </c>
    </row>
    <row r="250" spans="1:27" x14ac:dyDescent="0.25">
      <c r="A250" s="115">
        <v>34</v>
      </c>
      <c r="B250" s="116">
        <v>2121000</v>
      </c>
      <c r="C250" s="128">
        <f>Таблица_навык_дробовики[[#This Row],[опыт]]+C249</f>
        <v>16014000</v>
      </c>
      <c r="D250" s="260"/>
      <c r="E250" s="261">
        <f>Таблица_навык_дробовики[[#This Row],[урон]]+E249</f>
        <v>0.08</v>
      </c>
      <c r="F250" s="260">
        <v>0.01</v>
      </c>
      <c r="G250" s="271">
        <f>Таблица_навык_дробовики[[#This Row],[точность]]+G249</f>
        <v>0.08</v>
      </c>
      <c r="H250" s="270"/>
      <c r="I250" s="271">
        <f>Таблица_навык_дробовики[[#This Row],[дальность]]+I249</f>
        <v>0.14000000000000001</v>
      </c>
    </row>
    <row r="251" spans="1:27" ht="16.5" thickBot="1" x14ac:dyDescent="0.3">
      <c r="A251" s="118">
        <v>35</v>
      </c>
      <c r="B251" s="133">
        <v>2429000</v>
      </c>
      <c r="C251" s="257">
        <f>Таблица_навык_дробовики[[#This Row],[опыт]]+C250</f>
        <v>18443000</v>
      </c>
      <c r="D251" s="266"/>
      <c r="E251" s="264">
        <f>Таблица_навык_дробовики[[#This Row],[урон]]+E250</f>
        <v>0.08</v>
      </c>
      <c r="F251" s="266"/>
      <c r="G251" s="273">
        <f>Таблица_навык_дробовики[[#This Row],[точность]]+G250</f>
        <v>0.08</v>
      </c>
      <c r="H251" s="272"/>
      <c r="I251" s="273">
        <f>Таблица_навык_дробовики[[#This Row],[дальность]]+I250</f>
        <v>0.14000000000000001</v>
      </c>
    </row>
    <row r="252" spans="1:27" ht="16.5" thickBot="1" x14ac:dyDescent="0.3"/>
    <row r="253" spans="1:27" x14ac:dyDescent="0.25">
      <c r="A253" s="122" t="s">
        <v>112</v>
      </c>
      <c r="B253" s="112" t="s">
        <v>153</v>
      </c>
      <c r="C253" s="105" t="s">
        <v>495</v>
      </c>
      <c r="D253" s="258" t="s">
        <v>53</v>
      </c>
      <c r="E253" s="276" t="s">
        <v>534</v>
      </c>
      <c r="F253" s="307" t="s">
        <v>128</v>
      </c>
      <c r="G253" s="276" t="s">
        <v>499</v>
      </c>
      <c r="H253" s="300" t="s">
        <v>144</v>
      </c>
      <c r="I253" s="276" t="s">
        <v>496</v>
      </c>
    </row>
    <row r="254" spans="1:27" x14ac:dyDescent="0.25">
      <c r="A254" s="124">
        <v>0</v>
      </c>
      <c r="B254" s="125">
        <v>0</v>
      </c>
      <c r="C254" s="299">
        <v>0</v>
      </c>
      <c r="D254" s="296"/>
      <c r="E254" s="261">
        <v>0</v>
      </c>
      <c r="F254" s="296"/>
      <c r="G254" s="308">
        <v>0</v>
      </c>
      <c r="H254" s="301"/>
      <c r="I254" s="302">
        <v>0</v>
      </c>
    </row>
    <row r="255" spans="1:27" x14ac:dyDescent="0.25">
      <c r="A255" s="124">
        <v>1</v>
      </c>
      <c r="B255" s="116">
        <v>1000</v>
      </c>
      <c r="C255" s="299">
        <f>Таблица_навык_мины[[#This Row],[опыт]]+C254</f>
        <v>1000</v>
      </c>
      <c r="D255" s="260"/>
      <c r="E255" s="261">
        <f>Таблица_навык_мины[[#This Row],[урон]]+E254</f>
        <v>0</v>
      </c>
      <c r="F255" s="296">
        <v>-1</v>
      </c>
      <c r="G255" s="308">
        <f>Таблица_навык_мины[[#This Row],[од]]+G254</f>
        <v>-1</v>
      </c>
      <c r="H255" s="301"/>
      <c r="I255" s="302">
        <f>Таблица_навык_мины[[#This Row],[радиус]]+I254</f>
        <v>0</v>
      </c>
    </row>
    <row r="256" spans="1:27" x14ac:dyDescent="0.25">
      <c r="A256" s="124">
        <v>2</v>
      </c>
      <c r="B256" s="116">
        <v>22000</v>
      </c>
      <c r="C256" s="299">
        <f>Таблица_навык_мины[[#This Row],[опыт]]+C255</f>
        <v>23000</v>
      </c>
      <c r="D256" s="260">
        <v>0.05</v>
      </c>
      <c r="E256" s="261">
        <f>Таблица_навык_мины[[#This Row],[урон]]+E255</f>
        <v>0.05</v>
      </c>
      <c r="F256" s="296"/>
      <c r="G256" s="308">
        <f>Таблица_навык_мины[[#This Row],[од]]+G255</f>
        <v>-1</v>
      </c>
      <c r="H256" s="301"/>
      <c r="I256" s="302">
        <f>Таблица_навык_мины[[#This Row],[радиус]]+I255</f>
        <v>0</v>
      </c>
    </row>
    <row r="257" spans="1:9" x14ac:dyDescent="0.25">
      <c r="A257" s="124">
        <v>3</v>
      </c>
      <c r="B257" s="116">
        <v>27000</v>
      </c>
      <c r="C257" s="299">
        <f>Таблица_навык_мины[[#This Row],[опыт]]+C256</f>
        <v>50000</v>
      </c>
      <c r="D257" s="260"/>
      <c r="E257" s="261">
        <f>Таблица_навык_мины[[#This Row],[урон]]+E256</f>
        <v>0.05</v>
      </c>
      <c r="F257" s="296">
        <v>-1</v>
      </c>
      <c r="G257" s="308">
        <f>Таблица_навык_мины[[#This Row],[од]]+G256</f>
        <v>-2</v>
      </c>
      <c r="H257" s="301"/>
      <c r="I257" s="302">
        <f>Таблица_навык_мины[[#This Row],[радиус]]+I256</f>
        <v>0</v>
      </c>
    </row>
    <row r="258" spans="1:9" x14ac:dyDescent="0.25">
      <c r="A258" s="124">
        <v>4</v>
      </c>
      <c r="B258" s="116">
        <v>33000</v>
      </c>
      <c r="C258" s="299">
        <f>Таблица_навык_мины[[#This Row],[опыт]]+C257</f>
        <v>83000</v>
      </c>
      <c r="D258" s="260"/>
      <c r="E258" s="261">
        <f>Таблица_навык_мины[[#This Row],[урон]]+E257</f>
        <v>0.05</v>
      </c>
      <c r="F258" s="296"/>
      <c r="G258" s="308">
        <f>Таблица_навык_мины[[#This Row],[од]]+G257</f>
        <v>-2</v>
      </c>
      <c r="H258" s="301">
        <v>0.2</v>
      </c>
      <c r="I258" s="302">
        <f>Таблица_навык_мины[[#This Row],[радиус]]+I257</f>
        <v>0.2</v>
      </c>
    </row>
    <row r="259" spans="1:9" x14ac:dyDescent="0.25">
      <c r="A259" s="124">
        <v>5</v>
      </c>
      <c r="B259" s="116">
        <v>39000</v>
      </c>
      <c r="C259" s="299">
        <f>Таблица_навык_мины[[#This Row],[опыт]]+C258</f>
        <v>122000</v>
      </c>
      <c r="D259" s="260"/>
      <c r="E259" s="261">
        <f>Таблица_навык_мины[[#This Row],[урон]]+E258</f>
        <v>0.05</v>
      </c>
      <c r="F259" s="296">
        <v>-1</v>
      </c>
      <c r="G259" s="308">
        <f>Таблица_навык_мины[[#This Row],[од]]+G258</f>
        <v>-3</v>
      </c>
      <c r="H259" s="301"/>
      <c r="I259" s="302">
        <f>Таблица_навык_мины[[#This Row],[радиус]]+I258</f>
        <v>0.2</v>
      </c>
    </row>
    <row r="260" spans="1:9" x14ac:dyDescent="0.25">
      <c r="A260" s="124">
        <v>6</v>
      </c>
      <c r="B260" s="116">
        <v>47000</v>
      </c>
      <c r="C260" s="299">
        <f>Таблица_навык_мины[[#This Row],[опыт]]+C259</f>
        <v>169000</v>
      </c>
      <c r="D260" s="260">
        <v>0.05</v>
      </c>
      <c r="E260" s="261">
        <f>Таблица_навык_мины[[#This Row],[урон]]+E259</f>
        <v>0.1</v>
      </c>
      <c r="F260" s="296"/>
      <c r="G260" s="308">
        <f>Таблица_навык_мины[[#This Row],[од]]+G259</f>
        <v>-3</v>
      </c>
      <c r="H260" s="301"/>
      <c r="I260" s="302">
        <f>Таблица_навык_мины[[#This Row],[радиус]]+I259</f>
        <v>0.2</v>
      </c>
    </row>
    <row r="261" spans="1:9" x14ac:dyDescent="0.25">
      <c r="A261" s="124">
        <v>7</v>
      </c>
      <c r="B261" s="116">
        <v>57000</v>
      </c>
      <c r="C261" s="299">
        <f>Таблица_навык_мины[[#This Row],[опыт]]+C260</f>
        <v>226000</v>
      </c>
      <c r="D261" s="260"/>
      <c r="E261" s="261">
        <f>Таблица_навык_мины[[#This Row],[урон]]+E260</f>
        <v>0.1</v>
      </c>
      <c r="F261" s="296">
        <v>-1</v>
      </c>
      <c r="G261" s="308">
        <f>Таблица_навык_мины[[#This Row],[од]]+G260</f>
        <v>-4</v>
      </c>
      <c r="H261" s="301"/>
      <c r="I261" s="302">
        <f>Таблица_навык_мины[[#This Row],[радиус]]+I260</f>
        <v>0.2</v>
      </c>
    </row>
    <row r="262" spans="1:9" x14ac:dyDescent="0.25">
      <c r="A262" s="124">
        <v>8</v>
      </c>
      <c r="B262" s="116">
        <v>67000</v>
      </c>
      <c r="C262" s="299">
        <f>Таблица_навык_мины[[#This Row],[опыт]]+C261</f>
        <v>293000</v>
      </c>
      <c r="D262" s="260"/>
      <c r="E262" s="261">
        <f>Таблица_навык_мины[[#This Row],[урон]]+E261</f>
        <v>0.1</v>
      </c>
      <c r="F262" s="296"/>
      <c r="G262" s="308">
        <f>Таблица_навык_мины[[#This Row],[од]]+G261</f>
        <v>-4</v>
      </c>
      <c r="H262" s="301">
        <v>0.2</v>
      </c>
      <c r="I262" s="302">
        <f>Таблица_навык_мины[[#This Row],[радиус]]+I261</f>
        <v>0.4</v>
      </c>
    </row>
    <row r="263" spans="1:9" x14ac:dyDescent="0.25">
      <c r="A263" s="124">
        <v>9</v>
      </c>
      <c r="B263" s="116">
        <v>80000</v>
      </c>
      <c r="C263" s="299">
        <f>Таблица_навык_мины[[#This Row],[опыт]]+C262</f>
        <v>373000</v>
      </c>
      <c r="D263" s="260"/>
      <c r="E263" s="261">
        <f>Таблица_навык_мины[[#This Row],[урон]]+E262</f>
        <v>0.1</v>
      </c>
      <c r="F263" s="296">
        <v>-1</v>
      </c>
      <c r="G263" s="308">
        <f>Таблица_навык_мины[[#This Row],[од]]+G262</f>
        <v>-5</v>
      </c>
      <c r="H263" s="301"/>
      <c r="I263" s="302">
        <f>Таблица_навык_мины[[#This Row],[радиус]]+I262</f>
        <v>0.4</v>
      </c>
    </row>
    <row r="264" spans="1:9" x14ac:dyDescent="0.25">
      <c r="A264" s="124">
        <v>10</v>
      </c>
      <c r="B264" s="116">
        <v>94000</v>
      </c>
      <c r="C264" s="299">
        <f>Таблица_навык_мины[[#This Row],[опыт]]+C263</f>
        <v>467000</v>
      </c>
      <c r="D264" s="260">
        <v>0.05</v>
      </c>
      <c r="E264" s="261">
        <f>Таблица_навык_мины[[#This Row],[урон]]+E263</f>
        <v>0.15000000000000002</v>
      </c>
      <c r="F264" s="296"/>
      <c r="G264" s="308">
        <f>Таблица_навык_мины[[#This Row],[од]]+G263</f>
        <v>-5</v>
      </c>
      <c r="H264" s="301"/>
      <c r="I264" s="302">
        <f>Таблица_навык_мины[[#This Row],[радиус]]+I263</f>
        <v>0.4</v>
      </c>
    </row>
    <row r="265" spans="1:9" x14ac:dyDescent="0.25">
      <c r="A265" s="124">
        <v>11</v>
      </c>
      <c r="B265" s="116">
        <v>110000</v>
      </c>
      <c r="C265" s="299">
        <f>Таблица_навык_мины[[#This Row],[опыт]]+C264</f>
        <v>577000</v>
      </c>
      <c r="D265" s="260"/>
      <c r="E265" s="261">
        <f>Таблица_навык_мины[[#This Row],[урон]]+E264</f>
        <v>0.15000000000000002</v>
      </c>
      <c r="F265" s="296"/>
      <c r="G265" s="308">
        <f>Таблица_навык_мины[[#This Row],[од]]+G264</f>
        <v>-5</v>
      </c>
      <c r="H265" s="301">
        <v>0.2</v>
      </c>
      <c r="I265" s="302">
        <f>Таблица_навык_мины[[#This Row],[радиус]]+I264</f>
        <v>0.60000000000000009</v>
      </c>
    </row>
    <row r="266" spans="1:9" x14ac:dyDescent="0.25">
      <c r="A266" s="124">
        <v>12</v>
      </c>
      <c r="B266" s="116">
        <v>130000</v>
      </c>
      <c r="C266" s="299">
        <f>Таблица_навык_мины[[#This Row],[опыт]]+C265</f>
        <v>707000</v>
      </c>
      <c r="D266" s="260">
        <v>0.05</v>
      </c>
      <c r="E266" s="261">
        <f>Таблица_навык_мины[[#This Row],[урон]]+E265</f>
        <v>0.2</v>
      </c>
      <c r="F266" s="296"/>
      <c r="G266" s="308">
        <f>Таблица_навык_мины[[#This Row],[од]]+G265</f>
        <v>-5</v>
      </c>
      <c r="H266" s="301"/>
      <c r="I266" s="302">
        <f>Таблица_навык_мины[[#This Row],[радиус]]+I265</f>
        <v>0.60000000000000009</v>
      </c>
    </row>
    <row r="267" spans="1:9" x14ac:dyDescent="0.25">
      <c r="A267" s="124">
        <v>13</v>
      </c>
      <c r="B267" s="116">
        <v>153000</v>
      </c>
      <c r="C267" s="299">
        <f>Таблица_навык_мины[[#This Row],[опыт]]+C266</f>
        <v>860000</v>
      </c>
      <c r="D267" s="260"/>
      <c r="E267" s="261">
        <f>Таблица_навык_мины[[#This Row],[урон]]+E266</f>
        <v>0.2</v>
      </c>
      <c r="F267" s="296"/>
      <c r="G267" s="308">
        <f>Таблица_навык_мины[[#This Row],[од]]+G266</f>
        <v>-5</v>
      </c>
      <c r="H267" s="301">
        <v>0.2</v>
      </c>
      <c r="I267" s="302">
        <f>Таблица_навык_мины[[#This Row],[радиус]]+I266</f>
        <v>0.8</v>
      </c>
    </row>
    <row r="268" spans="1:9" x14ac:dyDescent="0.25">
      <c r="A268" s="124">
        <v>14</v>
      </c>
      <c r="B268" s="116">
        <v>177000</v>
      </c>
      <c r="C268" s="299">
        <f>Таблица_навык_мины[[#This Row],[опыт]]+C267</f>
        <v>1037000</v>
      </c>
      <c r="D268" s="260">
        <v>0.05</v>
      </c>
      <c r="E268" s="261">
        <f>Таблица_навык_мины[[#This Row],[урон]]+E267</f>
        <v>0.25</v>
      </c>
      <c r="F268" s="296"/>
      <c r="G268" s="308">
        <f>Таблица_навык_мины[[#This Row],[од]]+G267</f>
        <v>-5</v>
      </c>
      <c r="H268" s="301"/>
      <c r="I268" s="302">
        <f>Таблица_навык_мины[[#This Row],[радиус]]+I267</f>
        <v>0.8</v>
      </c>
    </row>
    <row r="269" spans="1:9" x14ac:dyDescent="0.25">
      <c r="A269" s="124">
        <v>15</v>
      </c>
      <c r="B269" s="116">
        <v>208000</v>
      </c>
      <c r="C269" s="299">
        <f>Таблица_навык_мины[[#This Row],[опыт]]+C268</f>
        <v>1245000</v>
      </c>
      <c r="D269" s="260"/>
      <c r="E269" s="261">
        <f>Таблица_навык_мины[[#This Row],[урон]]+E268</f>
        <v>0.25</v>
      </c>
      <c r="F269" s="296"/>
      <c r="G269" s="308">
        <f>Таблица_навык_мины[[#This Row],[од]]+G268</f>
        <v>-5</v>
      </c>
      <c r="H269" s="301">
        <v>0.2</v>
      </c>
      <c r="I269" s="302">
        <f>Таблица_навык_мины[[#This Row],[радиус]]+I268</f>
        <v>1</v>
      </c>
    </row>
    <row r="270" spans="1:9" x14ac:dyDescent="0.25">
      <c r="A270" s="124">
        <v>16</v>
      </c>
      <c r="B270" s="116">
        <v>241000</v>
      </c>
      <c r="C270" s="299">
        <f>Таблица_навык_мины[[#This Row],[опыт]]+C269</f>
        <v>1486000</v>
      </c>
      <c r="D270" s="260">
        <v>0.05</v>
      </c>
      <c r="E270" s="261">
        <f>Таблица_навык_мины[[#This Row],[урон]]+E269</f>
        <v>0.3</v>
      </c>
      <c r="F270" s="296"/>
      <c r="G270" s="308">
        <f>Таблица_навык_мины[[#This Row],[од]]+G269</f>
        <v>-5</v>
      </c>
      <c r="H270" s="301"/>
      <c r="I270" s="302">
        <f>Таблица_навык_мины[[#This Row],[радиус]]+I269</f>
        <v>1</v>
      </c>
    </row>
    <row r="271" spans="1:9" x14ac:dyDescent="0.25">
      <c r="A271" s="124">
        <v>17</v>
      </c>
      <c r="B271" s="116">
        <v>281000</v>
      </c>
      <c r="C271" s="299">
        <f>Таблица_навык_мины[[#This Row],[опыт]]+C270</f>
        <v>1767000</v>
      </c>
      <c r="D271" s="260"/>
      <c r="E271" s="261">
        <f>Таблица_навык_мины[[#This Row],[урон]]+E270</f>
        <v>0.3</v>
      </c>
      <c r="F271" s="296"/>
      <c r="G271" s="308">
        <f>Таблица_навык_мины[[#This Row],[од]]+G270</f>
        <v>-5</v>
      </c>
      <c r="H271" s="301">
        <v>0.2</v>
      </c>
      <c r="I271" s="302">
        <f>Таблица_навык_мины[[#This Row],[радиус]]+I270</f>
        <v>1.2</v>
      </c>
    </row>
    <row r="272" spans="1:9" x14ac:dyDescent="0.25">
      <c r="A272" s="124">
        <v>18</v>
      </c>
      <c r="B272" s="116">
        <v>326000</v>
      </c>
      <c r="C272" s="299">
        <f>Таблица_навык_мины[[#This Row],[опыт]]+C271</f>
        <v>2093000</v>
      </c>
      <c r="D272" s="260">
        <v>0.05</v>
      </c>
      <c r="E272" s="261">
        <f>Таблица_навык_мины[[#This Row],[урон]]+E271</f>
        <v>0.35</v>
      </c>
      <c r="F272" s="296"/>
      <c r="G272" s="308">
        <f>Таблица_навык_мины[[#This Row],[од]]+G271</f>
        <v>-5</v>
      </c>
      <c r="H272" s="301"/>
      <c r="I272" s="302">
        <f>Таблица_навык_мины[[#This Row],[радиус]]+I271</f>
        <v>1.2</v>
      </c>
    </row>
    <row r="273" spans="1:9" x14ac:dyDescent="0.25">
      <c r="A273" s="124">
        <v>19</v>
      </c>
      <c r="B273" s="116">
        <v>378000</v>
      </c>
      <c r="C273" s="299">
        <f>Таблица_навык_мины[[#This Row],[опыт]]+C272</f>
        <v>2471000</v>
      </c>
      <c r="D273" s="260"/>
      <c r="E273" s="261">
        <f>Таблица_навык_мины[[#This Row],[урон]]+E272</f>
        <v>0.35</v>
      </c>
      <c r="F273" s="296"/>
      <c r="G273" s="308">
        <f>Таблица_навык_мины[[#This Row],[од]]+G272</f>
        <v>-5</v>
      </c>
      <c r="H273" s="301">
        <v>0.3</v>
      </c>
      <c r="I273" s="302">
        <f>Таблица_навык_мины[[#This Row],[радиус]]+I272</f>
        <v>1.5</v>
      </c>
    </row>
    <row r="274" spans="1:9" x14ac:dyDescent="0.25">
      <c r="A274" s="124">
        <v>20</v>
      </c>
      <c r="B274" s="116">
        <v>438000</v>
      </c>
      <c r="C274" s="299">
        <f>Таблица_навык_мины[[#This Row],[опыт]]+C273</f>
        <v>2909000</v>
      </c>
      <c r="D274" s="260">
        <v>0.05</v>
      </c>
      <c r="E274" s="261">
        <f>Таблица_навык_мины[[#This Row],[урон]]+E273</f>
        <v>0.39999999999999997</v>
      </c>
      <c r="F274" s="296"/>
      <c r="G274" s="308">
        <f>Таблица_навык_мины[[#This Row],[од]]+G273</f>
        <v>-5</v>
      </c>
      <c r="H274" s="301"/>
      <c r="I274" s="302">
        <f>Таблица_навык_мины[[#This Row],[радиус]]+I273</f>
        <v>1.5</v>
      </c>
    </row>
    <row r="275" spans="1:9" x14ac:dyDescent="0.25">
      <c r="A275" s="124">
        <v>21</v>
      </c>
      <c r="B275" s="116">
        <v>505000</v>
      </c>
      <c r="C275" s="299">
        <f>Таблица_навык_мины[[#This Row],[опыт]]+C274</f>
        <v>3414000</v>
      </c>
      <c r="D275" s="260"/>
      <c r="E275" s="261">
        <f>Таблица_навык_мины[[#This Row],[урон]]+E274</f>
        <v>0.39999999999999997</v>
      </c>
      <c r="F275" s="296"/>
      <c r="G275" s="308">
        <f>Таблица_навык_мины[[#This Row],[од]]+G274</f>
        <v>-5</v>
      </c>
      <c r="H275" s="301">
        <v>0.3</v>
      </c>
      <c r="I275" s="302">
        <f>Таблица_навык_мины[[#This Row],[радиус]]+I274</f>
        <v>1.8</v>
      </c>
    </row>
    <row r="276" spans="1:9" x14ac:dyDescent="0.25">
      <c r="A276" s="124">
        <v>22</v>
      </c>
      <c r="B276" s="116">
        <v>584000</v>
      </c>
      <c r="C276" s="299">
        <f>Таблица_навык_мины[[#This Row],[опыт]]+C275</f>
        <v>3998000</v>
      </c>
      <c r="D276" s="260">
        <v>0.05</v>
      </c>
      <c r="E276" s="261">
        <f>Таблица_навык_мины[[#This Row],[урон]]+E275</f>
        <v>0.44999999999999996</v>
      </c>
      <c r="F276" s="296"/>
      <c r="G276" s="308">
        <f>Таблица_навык_мины[[#This Row],[од]]+G275</f>
        <v>-5</v>
      </c>
      <c r="H276" s="301"/>
      <c r="I276" s="302">
        <f>Таблица_навык_мины[[#This Row],[радиус]]+I275</f>
        <v>1.8</v>
      </c>
    </row>
    <row r="277" spans="1:9" x14ac:dyDescent="0.25">
      <c r="A277" s="124">
        <v>23</v>
      </c>
      <c r="B277" s="116">
        <v>674000</v>
      </c>
      <c r="C277" s="299">
        <f>Таблица_навык_мины[[#This Row],[опыт]]+C276</f>
        <v>4672000</v>
      </c>
      <c r="D277" s="260"/>
      <c r="E277" s="261">
        <f>Таблица_навык_мины[[#This Row],[урон]]+E276</f>
        <v>0.44999999999999996</v>
      </c>
      <c r="F277" s="296"/>
      <c r="G277" s="308">
        <f>Таблица_навык_мины[[#This Row],[од]]+G276</f>
        <v>-5</v>
      </c>
      <c r="H277" s="301">
        <v>0.3</v>
      </c>
      <c r="I277" s="302">
        <f>Таблица_навык_мины[[#This Row],[радиус]]+I276</f>
        <v>2.1</v>
      </c>
    </row>
    <row r="278" spans="1:9" x14ac:dyDescent="0.25">
      <c r="A278" s="124">
        <v>24</v>
      </c>
      <c r="B278" s="116">
        <v>776000</v>
      </c>
      <c r="C278" s="299">
        <f>Таблица_навык_мины[[#This Row],[опыт]]+C277</f>
        <v>5448000</v>
      </c>
      <c r="D278" s="260">
        <v>0.05</v>
      </c>
      <c r="E278" s="261">
        <f>Таблица_навык_мины[[#This Row],[урон]]+E277</f>
        <v>0.49999999999999994</v>
      </c>
      <c r="F278" s="296"/>
      <c r="G278" s="308">
        <f>Таблица_навык_мины[[#This Row],[од]]+G277</f>
        <v>-5</v>
      </c>
      <c r="H278" s="301"/>
      <c r="I278" s="302">
        <f>Таблица_навык_мины[[#This Row],[радиус]]+I277</f>
        <v>2.1</v>
      </c>
    </row>
    <row r="279" spans="1:9" x14ac:dyDescent="0.25">
      <c r="A279" s="124">
        <v>25</v>
      </c>
      <c r="B279" s="116">
        <v>894000</v>
      </c>
      <c r="C279" s="299">
        <f>Таблица_навык_мины[[#This Row],[опыт]]+C278</f>
        <v>6342000</v>
      </c>
      <c r="D279" s="260"/>
      <c r="E279" s="261">
        <f>Таблица_навык_мины[[#This Row],[урон]]+E278</f>
        <v>0.49999999999999994</v>
      </c>
      <c r="F279" s="296"/>
      <c r="G279" s="308">
        <f>Таблица_навык_мины[[#This Row],[од]]+G278</f>
        <v>-5</v>
      </c>
      <c r="H279" s="301">
        <v>0.3</v>
      </c>
      <c r="I279" s="302">
        <f>Таблица_навык_мины[[#This Row],[радиус]]+I278</f>
        <v>2.4</v>
      </c>
    </row>
    <row r="280" spans="1:9" x14ac:dyDescent="0.25">
      <c r="A280" s="124">
        <v>26</v>
      </c>
      <c r="B280" s="116">
        <v>1028000</v>
      </c>
      <c r="C280" s="299">
        <f>Таблица_навык_мины[[#This Row],[опыт]]+C279</f>
        <v>7370000</v>
      </c>
      <c r="D280" s="260">
        <v>0.05</v>
      </c>
      <c r="E280" s="261">
        <f>Таблица_навык_мины[[#This Row],[урон]]+E279</f>
        <v>0.54999999999999993</v>
      </c>
      <c r="F280" s="296"/>
      <c r="G280" s="308">
        <f>Таблица_навык_мины[[#This Row],[од]]+G279</f>
        <v>-5</v>
      </c>
      <c r="H280" s="301"/>
      <c r="I280" s="302">
        <f>Таблица_навык_мины[[#This Row],[радиус]]+I279</f>
        <v>2.4</v>
      </c>
    </row>
    <row r="281" spans="1:9" x14ac:dyDescent="0.25">
      <c r="A281" s="124">
        <v>27</v>
      </c>
      <c r="B281" s="116">
        <v>1182000</v>
      </c>
      <c r="C281" s="299">
        <f>Таблица_навык_мины[[#This Row],[опыт]]+C280</f>
        <v>8552000</v>
      </c>
      <c r="D281" s="260"/>
      <c r="E281" s="261">
        <f>Таблица_навык_мины[[#This Row],[урон]]+E280</f>
        <v>0.54999999999999993</v>
      </c>
      <c r="F281" s="296"/>
      <c r="G281" s="308">
        <f>Таблица_навык_мины[[#This Row],[од]]+G280</f>
        <v>-5</v>
      </c>
      <c r="H281" s="301">
        <v>0.3</v>
      </c>
      <c r="I281" s="302">
        <f>Таблица_навык_мины[[#This Row],[радиус]]+I280</f>
        <v>2.6999999999999997</v>
      </c>
    </row>
    <row r="282" spans="1:9" x14ac:dyDescent="0.25">
      <c r="A282" s="124">
        <v>28</v>
      </c>
      <c r="B282" s="116">
        <v>1357000</v>
      </c>
      <c r="C282" s="299">
        <f>Таблица_навык_мины[[#This Row],[опыт]]+C281</f>
        <v>9909000</v>
      </c>
      <c r="D282" s="260">
        <v>0.05</v>
      </c>
      <c r="E282" s="261">
        <f>Таблица_навык_мины[[#This Row],[урон]]+E281</f>
        <v>0.6</v>
      </c>
      <c r="F282" s="296"/>
      <c r="G282" s="308">
        <f>Таблица_навык_мины[[#This Row],[од]]+G281</f>
        <v>-5</v>
      </c>
      <c r="H282" s="301"/>
      <c r="I282" s="302">
        <f>Таблица_навык_мины[[#This Row],[радиус]]+I281</f>
        <v>2.6999999999999997</v>
      </c>
    </row>
    <row r="283" spans="1:9" x14ac:dyDescent="0.25">
      <c r="A283" s="124">
        <v>29</v>
      </c>
      <c r="B283" s="116">
        <v>1557000</v>
      </c>
      <c r="C283" s="299">
        <f>Таблица_навык_мины[[#This Row],[опыт]]+C282</f>
        <v>11466000</v>
      </c>
      <c r="D283" s="260"/>
      <c r="E283" s="261">
        <f>Таблица_навык_мины[[#This Row],[урон]]+E282</f>
        <v>0.6</v>
      </c>
      <c r="F283" s="296"/>
      <c r="G283" s="308">
        <f>Таблица_навык_мины[[#This Row],[од]]+G282</f>
        <v>-5</v>
      </c>
      <c r="H283" s="301">
        <v>0.3</v>
      </c>
      <c r="I283" s="302">
        <f>Таблица_навык_мины[[#This Row],[радиус]]+I282</f>
        <v>2.9999999999999996</v>
      </c>
    </row>
    <row r="284" spans="1:9" ht="16.5" thickBot="1" x14ac:dyDescent="0.3">
      <c r="A284" s="135">
        <v>30</v>
      </c>
      <c r="B284" s="119">
        <v>1786000</v>
      </c>
      <c r="C284" s="312">
        <f>Таблица_навык_мины[[#This Row],[опыт]]+C283</f>
        <v>13252000</v>
      </c>
      <c r="D284" s="266">
        <v>0.05</v>
      </c>
      <c r="E284" s="264">
        <f>Таблица_навык_мины[[#This Row],[урон]]+E283</f>
        <v>0.65</v>
      </c>
      <c r="F284" s="309"/>
      <c r="G284" s="310">
        <f>Таблица_навык_мины[[#This Row],[од]]+G283</f>
        <v>-5</v>
      </c>
      <c r="H284" s="303"/>
      <c r="I284" s="304">
        <f>Таблица_навык_мины[[#This Row],[радиус]]+I283</f>
        <v>2.9999999999999996</v>
      </c>
    </row>
    <row r="285" spans="1:9" ht="16.5" thickBot="1" x14ac:dyDescent="0.3">
      <c r="A285" s="12"/>
      <c r="B285" s="12"/>
      <c r="C285" s="12"/>
      <c r="D285" s="3"/>
      <c r="E285" s="12"/>
      <c r="F285" s="12"/>
      <c r="G285" s="12"/>
      <c r="H285" s="12"/>
      <c r="I285" s="12"/>
    </row>
    <row r="286" spans="1:9" x14ac:dyDescent="0.25">
      <c r="A286" s="111" t="s">
        <v>113</v>
      </c>
      <c r="B286" s="112" t="s">
        <v>153</v>
      </c>
      <c r="C286" s="105" t="s">
        <v>495</v>
      </c>
      <c r="D286" s="258" t="s">
        <v>53</v>
      </c>
      <c r="E286" s="276" t="s">
        <v>496</v>
      </c>
      <c r="F286" s="258" t="s">
        <v>523</v>
      </c>
      <c r="G286" s="276" t="s">
        <v>499</v>
      </c>
      <c r="H286" s="307" t="s">
        <v>144</v>
      </c>
      <c r="I286" s="276" t="s">
        <v>534</v>
      </c>
    </row>
    <row r="287" spans="1:9" x14ac:dyDescent="0.25">
      <c r="A287" s="124">
        <v>0</v>
      </c>
      <c r="B287" s="125">
        <v>0</v>
      </c>
      <c r="C287" s="127">
        <v>0</v>
      </c>
      <c r="D287" s="296"/>
      <c r="E287" s="261">
        <v>0</v>
      </c>
      <c r="F287" s="301"/>
      <c r="G287" s="302">
        <v>0</v>
      </c>
      <c r="H287" s="301"/>
      <c r="I287" s="302">
        <v>0</v>
      </c>
    </row>
    <row r="288" spans="1:9" x14ac:dyDescent="0.25">
      <c r="A288" s="124">
        <v>1</v>
      </c>
      <c r="B288" s="132">
        <v>1000</v>
      </c>
      <c r="C288" s="128">
        <f>Таблица_навык_гранаты[[#This Row],[опыт]]+C287</f>
        <v>1000</v>
      </c>
      <c r="D288" s="260"/>
      <c r="E288" s="261">
        <f>Таблица_навык_гранаты[[#This Row],[урон]]+E287</f>
        <v>0</v>
      </c>
      <c r="F288" s="301">
        <v>0.3</v>
      </c>
      <c r="G288" s="302">
        <f>Таблица_навык_гранаты[[#This Row],[дальность2]]+G287</f>
        <v>0.3</v>
      </c>
      <c r="H288" s="301"/>
      <c r="I288" s="302">
        <f>Таблица_навык_гранаты[[#This Row],[радиус]]+I287</f>
        <v>0</v>
      </c>
    </row>
    <row r="289" spans="1:9" x14ac:dyDescent="0.25">
      <c r="A289" s="124">
        <v>2</v>
      </c>
      <c r="B289" s="116">
        <v>22000</v>
      </c>
      <c r="C289" s="128">
        <f>Таблица_навык_гранаты[[#This Row],[опыт]]+C288</f>
        <v>23000</v>
      </c>
      <c r="D289" s="260"/>
      <c r="E289" s="261">
        <f>Таблица_навык_гранаты[[#This Row],[урон]]+E288</f>
        <v>0</v>
      </c>
      <c r="F289" s="301"/>
      <c r="G289" s="302">
        <f>Таблица_навык_гранаты[[#This Row],[дальность2]]+G288</f>
        <v>0.3</v>
      </c>
      <c r="H289" s="301">
        <v>0.1</v>
      </c>
      <c r="I289" s="302">
        <f>Таблица_навык_гранаты[[#This Row],[радиус]]+I288</f>
        <v>0.1</v>
      </c>
    </row>
    <row r="290" spans="1:9" x14ac:dyDescent="0.25">
      <c r="A290" s="124">
        <v>3</v>
      </c>
      <c r="B290" s="132">
        <v>27000</v>
      </c>
      <c r="C290" s="128">
        <f>Таблица_навык_гранаты[[#This Row],[опыт]]+C289</f>
        <v>50000</v>
      </c>
      <c r="D290" s="260">
        <v>0.05</v>
      </c>
      <c r="E290" s="261">
        <f>Таблица_навык_гранаты[[#This Row],[урон]]+E289</f>
        <v>0.05</v>
      </c>
      <c r="F290" s="301"/>
      <c r="G290" s="302">
        <f>Таблица_навык_гранаты[[#This Row],[дальность2]]+G289</f>
        <v>0.3</v>
      </c>
      <c r="H290" s="301"/>
      <c r="I290" s="302">
        <f>Таблица_навык_гранаты[[#This Row],[радиус]]+I289</f>
        <v>0.1</v>
      </c>
    </row>
    <row r="291" spans="1:9" x14ac:dyDescent="0.25">
      <c r="A291" s="124">
        <v>4</v>
      </c>
      <c r="B291" s="116">
        <v>33000</v>
      </c>
      <c r="C291" s="128">
        <f>Таблица_навык_гранаты[[#This Row],[опыт]]+C290</f>
        <v>83000</v>
      </c>
      <c r="D291" s="260"/>
      <c r="E291" s="261">
        <f>Таблица_навык_гранаты[[#This Row],[урон]]+E290</f>
        <v>0.05</v>
      </c>
      <c r="F291" s="301">
        <v>0.3</v>
      </c>
      <c r="G291" s="302">
        <f>Таблица_навык_гранаты[[#This Row],[дальность2]]+G290</f>
        <v>0.6</v>
      </c>
      <c r="H291" s="301"/>
      <c r="I291" s="302">
        <f>Таблица_навык_гранаты[[#This Row],[радиус]]+I290</f>
        <v>0.1</v>
      </c>
    </row>
    <row r="292" spans="1:9" x14ac:dyDescent="0.25">
      <c r="A292" s="124">
        <v>5</v>
      </c>
      <c r="B292" s="132">
        <v>39000</v>
      </c>
      <c r="C292" s="128">
        <f>Таблица_навык_гранаты[[#This Row],[опыт]]+C291</f>
        <v>122000</v>
      </c>
      <c r="D292" s="260"/>
      <c r="E292" s="261">
        <f>Таблица_навык_гранаты[[#This Row],[урон]]+E291</f>
        <v>0.05</v>
      </c>
      <c r="F292" s="301"/>
      <c r="G292" s="302">
        <f>Таблица_навык_гранаты[[#This Row],[дальность2]]+G291</f>
        <v>0.6</v>
      </c>
      <c r="H292" s="301">
        <v>0.1</v>
      </c>
      <c r="I292" s="302">
        <f>Таблица_навык_гранаты[[#This Row],[радиус]]+I291</f>
        <v>0.2</v>
      </c>
    </row>
    <row r="293" spans="1:9" x14ac:dyDescent="0.25">
      <c r="A293" s="124">
        <v>6</v>
      </c>
      <c r="B293" s="116">
        <v>47000</v>
      </c>
      <c r="C293" s="128">
        <f>Таблица_навык_гранаты[[#This Row],[опыт]]+C292</f>
        <v>169000</v>
      </c>
      <c r="D293" s="260">
        <v>0.05</v>
      </c>
      <c r="E293" s="261">
        <f>Таблица_навык_гранаты[[#This Row],[урон]]+E292</f>
        <v>0.1</v>
      </c>
      <c r="F293" s="301"/>
      <c r="G293" s="302">
        <f>Таблица_навык_гранаты[[#This Row],[дальность2]]+G292</f>
        <v>0.6</v>
      </c>
      <c r="H293" s="301"/>
      <c r="I293" s="302">
        <f>Таблица_навык_гранаты[[#This Row],[радиус]]+I292</f>
        <v>0.2</v>
      </c>
    </row>
    <row r="294" spans="1:9" x14ac:dyDescent="0.25">
      <c r="A294" s="124">
        <v>7</v>
      </c>
      <c r="B294" s="132">
        <v>57000</v>
      </c>
      <c r="C294" s="128">
        <f>Таблица_навык_гранаты[[#This Row],[опыт]]+C293</f>
        <v>226000</v>
      </c>
      <c r="D294" s="260"/>
      <c r="E294" s="261">
        <f>Таблица_навык_гранаты[[#This Row],[урон]]+E293</f>
        <v>0.1</v>
      </c>
      <c r="F294" s="301">
        <v>0.3</v>
      </c>
      <c r="G294" s="302">
        <f>Таблица_навык_гранаты[[#This Row],[дальность2]]+G293</f>
        <v>0.89999999999999991</v>
      </c>
      <c r="H294" s="301"/>
      <c r="I294" s="302">
        <f>Таблица_навык_гранаты[[#This Row],[радиус]]+I293</f>
        <v>0.2</v>
      </c>
    </row>
    <row r="295" spans="1:9" x14ac:dyDescent="0.25">
      <c r="A295" s="124">
        <v>8</v>
      </c>
      <c r="B295" s="116">
        <v>67000</v>
      </c>
      <c r="C295" s="128">
        <f>Таблица_навык_гранаты[[#This Row],[опыт]]+C294</f>
        <v>293000</v>
      </c>
      <c r="D295" s="260"/>
      <c r="E295" s="261">
        <f>Таблица_навык_гранаты[[#This Row],[урон]]+E294</f>
        <v>0.1</v>
      </c>
      <c r="F295" s="301"/>
      <c r="G295" s="302">
        <f>Таблица_навык_гранаты[[#This Row],[дальность2]]+G294</f>
        <v>0.89999999999999991</v>
      </c>
      <c r="H295" s="301">
        <v>0.1</v>
      </c>
      <c r="I295" s="302">
        <f>Таблица_навык_гранаты[[#This Row],[радиус]]+I294</f>
        <v>0.30000000000000004</v>
      </c>
    </row>
    <row r="296" spans="1:9" x14ac:dyDescent="0.25">
      <c r="A296" s="124">
        <v>9</v>
      </c>
      <c r="B296" s="132">
        <v>80000</v>
      </c>
      <c r="C296" s="128">
        <f>Таблица_навык_гранаты[[#This Row],[опыт]]+C295</f>
        <v>373000</v>
      </c>
      <c r="D296" s="260">
        <v>0.05</v>
      </c>
      <c r="E296" s="261">
        <f>Таблица_навык_гранаты[[#This Row],[урон]]+E295</f>
        <v>0.15000000000000002</v>
      </c>
      <c r="F296" s="301"/>
      <c r="G296" s="302">
        <f>Таблица_навык_гранаты[[#This Row],[дальность2]]+G295</f>
        <v>0.89999999999999991</v>
      </c>
      <c r="H296" s="301"/>
      <c r="I296" s="302">
        <f>Таблица_навык_гранаты[[#This Row],[радиус]]+I295</f>
        <v>0.30000000000000004</v>
      </c>
    </row>
    <row r="297" spans="1:9" x14ac:dyDescent="0.25">
      <c r="A297" s="124">
        <v>10</v>
      </c>
      <c r="B297" s="116">
        <v>94000</v>
      </c>
      <c r="C297" s="128">
        <f>Таблица_навык_гранаты[[#This Row],[опыт]]+C296</f>
        <v>467000</v>
      </c>
      <c r="D297" s="260"/>
      <c r="E297" s="261">
        <f>Таблица_навык_гранаты[[#This Row],[урон]]+E296</f>
        <v>0.15000000000000002</v>
      </c>
      <c r="F297" s="301">
        <v>0.3</v>
      </c>
      <c r="G297" s="302">
        <f>Таблица_навык_гранаты[[#This Row],[дальность2]]+G296</f>
        <v>1.2</v>
      </c>
      <c r="H297" s="301"/>
      <c r="I297" s="302">
        <f>Таблица_навык_гранаты[[#This Row],[радиус]]+I296</f>
        <v>0.30000000000000004</v>
      </c>
    </row>
    <row r="298" spans="1:9" x14ac:dyDescent="0.25">
      <c r="A298" s="124">
        <v>11</v>
      </c>
      <c r="B298" s="132">
        <v>110000</v>
      </c>
      <c r="C298" s="128">
        <f>Таблица_навык_гранаты[[#This Row],[опыт]]+C297</f>
        <v>577000</v>
      </c>
      <c r="D298" s="260"/>
      <c r="E298" s="261">
        <f>Таблица_навык_гранаты[[#This Row],[урон]]+E297</f>
        <v>0.15000000000000002</v>
      </c>
      <c r="F298" s="301"/>
      <c r="G298" s="302">
        <f>Таблица_навык_гранаты[[#This Row],[дальность2]]+G297</f>
        <v>1.2</v>
      </c>
      <c r="H298" s="301">
        <v>0.1</v>
      </c>
      <c r="I298" s="302">
        <f>Таблица_навык_гранаты[[#This Row],[радиус]]+I297</f>
        <v>0.4</v>
      </c>
    </row>
    <row r="299" spans="1:9" x14ac:dyDescent="0.25">
      <c r="A299" s="124">
        <v>12</v>
      </c>
      <c r="B299" s="116">
        <v>130000</v>
      </c>
      <c r="C299" s="128">
        <f>Таблица_навык_гранаты[[#This Row],[опыт]]+C298</f>
        <v>707000</v>
      </c>
      <c r="D299" s="260">
        <v>0.05</v>
      </c>
      <c r="E299" s="261">
        <f>Таблица_навык_гранаты[[#This Row],[урон]]+E298</f>
        <v>0.2</v>
      </c>
      <c r="F299" s="301"/>
      <c r="G299" s="302">
        <f>Таблица_навык_гранаты[[#This Row],[дальность2]]+G298</f>
        <v>1.2</v>
      </c>
      <c r="H299" s="301"/>
      <c r="I299" s="302">
        <f>Таблица_навык_гранаты[[#This Row],[радиус]]+I298</f>
        <v>0.4</v>
      </c>
    </row>
    <row r="300" spans="1:9" x14ac:dyDescent="0.25">
      <c r="A300" s="124">
        <v>13</v>
      </c>
      <c r="B300" s="132">
        <v>153000</v>
      </c>
      <c r="C300" s="128">
        <f>Таблица_навык_гранаты[[#This Row],[опыт]]+C299</f>
        <v>860000</v>
      </c>
      <c r="D300" s="260"/>
      <c r="E300" s="261">
        <f>Таблица_навык_гранаты[[#This Row],[урон]]+E299</f>
        <v>0.2</v>
      </c>
      <c r="F300" s="301">
        <v>0.3</v>
      </c>
      <c r="G300" s="302">
        <f>Таблица_навык_гранаты[[#This Row],[дальность2]]+G299</f>
        <v>1.5</v>
      </c>
      <c r="H300" s="301"/>
      <c r="I300" s="302">
        <f>Таблица_навык_гранаты[[#This Row],[радиус]]+I299</f>
        <v>0.4</v>
      </c>
    </row>
    <row r="301" spans="1:9" x14ac:dyDescent="0.25">
      <c r="A301" s="124">
        <v>14</v>
      </c>
      <c r="B301" s="116">
        <v>177000</v>
      </c>
      <c r="C301" s="128">
        <f>Таблица_навык_гранаты[[#This Row],[опыт]]+C300</f>
        <v>1037000</v>
      </c>
      <c r="D301" s="260"/>
      <c r="E301" s="261">
        <f>Таблица_навык_гранаты[[#This Row],[урон]]+E300</f>
        <v>0.2</v>
      </c>
      <c r="F301" s="301"/>
      <c r="G301" s="302">
        <f>Таблица_навык_гранаты[[#This Row],[дальность2]]+G300</f>
        <v>1.5</v>
      </c>
      <c r="H301" s="301">
        <v>0.1</v>
      </c>
      <c r="I301" s="302">
        <f>Таблица_навык_гранаты[[#This Row],[радиус]]+I300</f>
        <v>0.5</v>
      </c>
    </row>
    <row r="302" spans="1:9" x14ac:dyDescent="0.25">
      <c r="A302" s="124">
        <v>15</v>
      </c>
      <c r="B302" s="132">
        <v>208000</v>
      </c>
      <c r="C302" s="128">
        <f>Таблица_навык_гранаты[[#This Row],[опыт]]+C301</f>
        <v>1245000</v>
      </c>
      <c r="D302" s="260">
        <v>0.05</v>
      </c>
      <c r="E302" s="261">
        <f>Таблица_навык_гранаты[[#This Row],[урон]]+E301</f>
        <v>0.25</v>
      </c>
      <c r="F302" s="301"/>
      <c r="G302" s="302">
        <f>Таблица_навык_гранаты[[#This Row],[дальность2]]+G301</f>
        <v>1.5</v>
      </c>
      <c r="H302" s="301"/>
      <c r="I302" s="302">
        <f>Таблица_навык_гранаты[[#This Row],[радиус]]+I301</f>
        <v>0.5</v>
      </c>
    </row>
    <row r="303" spans="1:9" x14ac:dyDescent="0.25">
      <c r="A303" s="124">
        <v>16</v>
      </c>
      <c r="B303" s="116">
        <v>241000</v>
      </c>
      <c r="C303" s="128">
        <f>Таблица_навык_гранаты[[#This Row],[опыт]]+C302</f>
        <v>1486000</v>
      </c>
      <c r="D303" s="260"/>
      <c r="E303" s="261">
        <f>Таблица_навык_гранаты[[#This Row],[урон]]+E302</f>
        <v>0.25</v>
      </c>
      <c r="F303" s="301">
        <v>0.3</v>
      </c>
      <c r="G303" s="302">
        <f>Таблица_навык_гранаты[[#This Row],[дальность2]]+G302</f>
        <v>1.8</v>
      </c>
      <c r="H303" s="301"/>
      <c r="I303" s="302">
        <f>Таблица_навык_гранаты[[#This Row],[радиус]]+I302</f>
        <v>0.5</v>
      </c>
    </row>
    <row r="304" spans="1:9" x14ac:dyDescent="0.25">
      <c r="A304" s="124">
        <v>17</v>
      </c>
      <c r="B304" s="132">
        <v>281000</v>
      </c>
      <c r="C304" s="128">
        <f>Таблица_навык_гранаты[[#This Row],[опыт]]+C303</f>
        <v>1767000</v>
      </c>
      <c r="D304" s="260"/>
      <c r="E304" s="261">
        <f>Таблица_навык_гранаты[[#This Row],[урон]]+E303</f>
        <v>0.25</v>
      </c>
      <c r="F304" s="301"/>
      <c r="G304" s="302">
        <f>Таблица_навык_гранаты[[#This Row],[дальность2]]+G303</f>
        <v>1.8</v>
      </c>
      <c r="H304" s="301">
        <v>0.2</v>
      </c>
      <c r="I304" s="302">
        <f>Таблица_навык_гранаты[[#This Row],[радиус]]+I303</f>
        <v>0.7</v>
      </c>
    </row>
    <row r="305" spans="1:9" x14ac:dyDescent="0.25">
      <c r="A305" s="124">
        <v>18</v>
      </c>
      <c r="B305" s="116">
        <v>326000</v>
      </c>
      <c r="C305" s="128">
        <f>Таблица_навык_гранаты[[#This Row],[опыт]]+C304</f>
        <v>2093000</v>
      </c>
      <c r="D305" s="260">
        <v>0.05</v>
      </c>
      <c r="E305" s="261">
        <f>Таблица_навык_гранаты[[#This Row],[урон]]+E304</f>
        <v>0.3</v>
      </c>
      <c r="F305" s="301"/>
      <c r="G305" s="302">
        <f>Таблица_навык_гранаты[[#This Row],[дальность2]]+G304</f>
        <v>1.8</v>
      </c>
      <c r="H305" s="301"/>
      <c r="I305" s="302">
        <f>Таблица_навык_гранаты[[#This Row],[радиус]]+I304</f>
        <v>0.7</v>
      </c>
    </row>
    <row r="306" spans="1:9" x14ac:dyDescent="0.25">
      <c r="A306" s="124">
        <v>19</v>
      </c>
      <c r="B306" s="132">
        <v>378000</v>
      </c>
      <c r="C306" s="128">
        <f>Таблица_навык_гранаты[[#This Row],[опыт]]+C305</f>
        <v>2471000</v>
      </c>
      <c r="D306" s="260"/>
      <c r="E306" s="261">
        <f>Таблица_навык_гранаты[[#This Row],[урон]]+E305</f>
        <v>0.3</v>
      </c>
      <c r="F306" s="301">
        <v>0.3</v>
      </c>
      <c r="G306" s="302">
        <f>Таблица_навык_гранаты[[#This Row],[дальность2]]+G305</f>
        <v>2.1</v>
      </c>
      <c r="H306" s="301"/>
      <c r="I306" s="302">
        <f>Таблица_навык_гранаты[[#This Row],[радиус]]+I305</f>
        <v>0.7</v>
      </c>
    </row>
    <row r="307" spans="1:9" x14ac:dyDescent="0.25">
      <c r="A307" s="124">
        <v>20</v>
      </c>
      <c r="B307" s="116">
        <v>438000</v>
      </c>
      <c r="C307" s="128">
        <f>Таблица_навык_гранаты[[#This Row],[опыт]]+C306</f>
        <v>2909000</v>
      </c>
      <c r="D307" s="260"/>
      <c r="E307" s="261">
        <f>Таблица_навык_гранаты[[#This Row],[урон]]+E306</f>
        <v>0.3</v>
      </c>
      <c r="F307" s="301"/>
      <c r="G307" s="302">
        <f>Таблица_навык_гранаты[[#This Row],[дальность2]]+G306</f>
        <v>2.1</v>
      </c>
      <c r="H307" s="301">
        <v>0.2</v>
      </c>
      <c r="I307" s="302">
        <f>Таблица_навык_гранаты[[#This Row],[радиус]]+I306</f>
        <v>0.89999999999999991</v>
      </c>
    </row>
    <row r="308" spans="1:9" x14ac:dyDescent="0.25">
      <c r="A308" s="124">
        <v>21</v>
      </c>
      <c r="B308" s="132">
        <v>505000</v>
      </c>
      <c r="C308" s="128">
        <f>Таблица_навык_гранаты[[#This Row],[опыт]]+C307</f>
        <v>3414000</v>
      </c>
      <c r="D308" s="260">
        <v>0.05</v>
      </c>
      <c r="E308" s="261">
        <f>Таблица_навык_гранаты[[#This Row],[урон]]+E307</f>
        <v>0.35</v>
      </c>
      <c r="F308" s="301"/>
      <c r="G308" s="302">
        <f>Таблица_навык_гранаты[[#This Row],[дальность2]]+G307</f>
        <v>2.1</v>
      </c>
      <c r="H308" s="301"/>
      <c r="I308" s="302">
        <f>Таблица_навык_гранаты[[#This Row],[радиус]]+I307</f>
        <v>0.89999999999999991</v>
      </c>
    </row>
    <row r="309" spans="1:9" x14ac:dyDescent="0.25">
      <c r="A309" s="124">
        <v>22</v>
      </c>
      <c r="B309" s="116">
        <v>584000</v>
      </c>
      <c r="C309" s="128">
        <f>Таблица_навык_гранаты[[#This Row],[опыт]]+C308</f>
        <v>3998000</v>
      </c>
      <c r="D309" s="260"/>
      <c r="E309" s="261">
        <f>Таблица_навык_гранаты[[#This Row],[урон]]+E308</f>
        <v>0.35</v>
      </c>
      <c r="F309" s="301">
        <v>0.3</v>
      </c>
      <c r="G309" s="302">
        <f>Таблица_навык_гранаты[[#This Row],[дальность2]]+G308</f>
        <v>2.4</v>
      </c>
      <c r="H309" s="301"/>
      <c r="I309" s="302">
        <f>Таблица_навык_гранаты[[#This Row],[радиус]]+I308</f>
        <v>0.89999999999999991</v>
      </c>
    </row>
    <row r="310" spans="1:9" x14ac:dyDescent="0.25">
      <c r="A310" s="124">
        <v>23</v>
      </c>
      <c r="B310" s="132">
        <v>674000</v>
      </c>
      <c r="C310" s="128">
        <f>Таблица_навык_гранаты[[#This Row],[опыт]]+C309</f>
        <v>4672000</v>
      </c>
      <c r="D310" s="260"/>
      <c r="E310" s="261">
        <f>Таблица_навык_гранаты[[#This Row],[урон]]+E309</f>
        <v>0.35</v>
      </c>
      <c r="F310" s="301"/>
      <c r="G310" s="302">
        <f>Таблица_навык_гранаты[[#This Row],[дальность2]]+G309</f>
        <v>2.4</v>
      </c>
      <c r="H310" s="301">
        <v>0.2</v>
      </c>
      <c r="I310" s="302">
        <f>Таблица_навык_гранаты[[#This Row],[радиус]]+I309</f>
        <v>1.0999999999999999</v>
      </c>
    </row>
    <row r="311" spans="1:9" x14ac:dyDescent="0.25">
      <c r="A311" s="124">
        <v>24</v>
      </c>
      <c r="B311" s="116">
        <v>776000</v>
      </c>
      <c r="C311" s="128">
        <f>Таблица_навык_гранаты[[#This Row],[опыт]]+C310</f>
        <v>5448000</v>
      </c>
      <c r="D311" s="260">
        <v>0.05</v>
      </c>
      <c r="E311" s="261">
        <f>Таблица_навык_гранаты[[#This Row],[урон]]+E310</f>
        <v>0.39999999999999997</v>
      </c>
      <c r="F311" s="301"/>
      <c r="G311" s="302">
        <f>Таблица_навык_гранаты[[#This Row],[дальность2]]+G310</f>
        <v>2.4</v>
      </c>
      <c r="H311" s="301"/>
      <c r="I311" s="302">
        <f>Таблица_навык_гранаты[[#This Row],[радиус]]+I310</f>
        <v>1.0999999999999999</v>
      </c>
    </row>
    <row r="312" spans="1:9" x14ac:dyDescent="0.25">
      <c r="A312" s="124">
        <v>25</v>
      </c>
      <c r="B312" s="132">
        <v>894000</v>
      </c>
      <c r="C312" s="128">
        <f>Таблица_навык_гранаты[[#This Row],[опыт]]+C311</f>
        <v>6342000</v>
      </c>
      <c r="D312" s="260"/>
      <c r="E312" s="261">
        <f>Таблица_навык_гранаты[[#This Row],[урон]]+E311</f>
        <v>0.39999999999999997</v>
      </c>
      <c r="F312" s="301">
        <v>0.3</v>
      </c>
      <c r="G312" s="302">
        <f>Таблица_навык_гранаты[[#This Row],[дальность2]]+G311</f>
        <v>2.6999999999999997</v>
      </c>
      <c r="H312" s="301"/>
      <c r="I312" s="302">
        <f>Таблица_навык_гранаты[[#This Row],[радиус]]+I311</f>
        <v>1.0999999999999999</v>
      </c>
    </row>
    <row r="313" spans="1:9" x14ac:dyDescent="0.25">
      <c r="A313" s="124">
        <v>26</v>
      </c>
      <c r="B313" s="116">
        <v>1028000</v>
      </c>
      <c r="C313" s="128">
        <f>Таблица_навык_гранаты[[#This Row],[опыт]]+C312</f>
        <v>7370000</v>
      </c>
      <c r="D313" s="260"/>
      <c r="E313" s="261">
        <f>Таблица_навык_гранаты[[#This Row],[урон]]+E312</f>
        <v>0.39999999999999997</v>
      </c>
      <c r="F313" s="301"/>
      <c r="G313" s="302">
        <f>Таблица_навык_гранаты[[#This Row],[дальность2]]+G312</f>
        <v>2.6999999999999997</v>
      </c>
      <c r="H313" s="301">
        <v>0.2</v>
      </c>
      <c r="I313" s="302">
        <f>Таблица_навык_гранаты[[#This Row],[радиус]]+I312</f>
        <v>1.2999999999999998</v>
      </c>
    </row>
    <row r="314" spans="1:9" x14ac:dyDescent="0.25">
      <c r="A314" s="124">
        <v>27</v>
      </c>
      <c r="B314" s="132">
        <v>1182000</v>
      </c>
      <c r="C314" s="128">
        <f>Таблица_навык_гранаты[[#This Row],[опыт]]+C313</f>
        <v>8552000</v>
      </c>
      <c r="D314" s="260">
        <v>0.05</v>
      </c>
      <c r="E314" s="261">
        <f>Таблица_навык_гранаты[[#This Row],[урон]]+E313</f>
        <v>0.44999999999999996</v>
      </c>
      <c r="F314" s="301"/>
      <c r="G314" s="302">
        <f>Таблица_навык_гранаты[[#This Row],[дальность2]]+G313</f>
        <v>2.6999999999999997</v>
      </c>
      <c r="H314" s="301"/>
      <c r="I314" s="302">
        <f>Таблица_навык_гранаты[[#This Row],[радиус]]+I313</f>
        <v>1.2999999999999998</v>
      </c>
    </row>
    <row r="315" spans="1:9" x14ac:dyDescent="0.25">
      <c r="A315" s="124">
        <v>28</v>
      </c>
      <c r="B315" s="116">
        <v>1357000</v>
      </c>
      <c r="C315" s="128">
        <f>Таблица_навык_гранаты[[#This Row],[опыт]]+C314</f>
        <v>9909000</v>
      </c>
      <c r="D315" s="260"/>
      <c r="E315" s="261">
        <f>Таблица_навык_гранаты[[#This Row],[урон]]+E314</f>
        <v>0.44999999999999996</v>
      </c>
      <c r="F315" s="301">
        <v>0.3</v>
      </c>
      <c r="G315" s="302">
        <f>Таблица_навык_гранаты[[#This Row],[дальность2]]+G314</f>
        <v>2.9999999999999996</v>
      </c>
      <c r="H315" s="301"/>
      <c r="I315" s="302">
        <f>Таблица_навык_гранаты[[#This Row],[радиус]]+I314</f>
        <v>1.2999999999999998</v>
      </c>
    </row>
    <row r="316" spans="1:9" x14ac:dyDescent="0.25">
      <c r="A316" s="124">
        <v>29</v>
      </c>
      <c r="B316" s="132">
        <v>1557000</v>
      </c>
      <c r="C316" s="128">
        <f>Таблица_навык_гранаты[[#This Row],[опыт]]+C315</f>
        <v>11466000</v>
      </c>
      <c r="D316" s="260"/>
      <c r="E316" s="261">
        <f>Таблица_навык_гранаты[[#This Row],[урон]]+E315</f>
        <v>0.44999999999999996</v>
      </c>
      <c r="F316" s="301"/>
      <c r="G316" s="302">
        <f>Таблица_навык_гранаты[[#This Row],[дальность2]]+G315</f>
        <v>2.9999999999999996</v>
      </c>
      <c r="H316" s="301">
        <v>0.2</v>
      </c>
      <c r="I316" s="302">
        <f>Таблица_навык_гранаты[[#This Row],[радиус]]+I315</f>
        <v>1.4999999999999998</v>
      </c>
    </row>
    <row r="317" spans="1:9" ht="16.5" thickBot="1" x14ac:dyDescent="0.3">
      <c r="A317" s="118">
        <v>30</v>
      </c>
      <c r="B317" s="119">
        <v>1786000</v>
      </c>
      <c r="C317" s="257">
        <f>Таблица_навык_гранаты[[#This Row],[опыт]]+C316</f>
        <v>13252000</v>
      </c>
      <c r="D317" s="266">
        <v>0.05</v>
      </c>
      <c r="E317" s="264">
        <f>Таблица_навык_гранаты[[#This Row],[урон]]+E316</f>
        <v>0.49999999999999994</v>
      </c>
      <c r="F317" s="303"/>
      <c r="G317" s="304">
        <f>Таблица_навык_гранаты[[#This Row],[дальность2]]+G316</f>
        <v>2.9999999999999996</v>
      </c>
      <c r="H317" s="303"/>
      <c r="I317" s="304">
        <f>Таблица_навык_гранаты[[#This Row],[радиус]]+I316</f>
        <v>1.4999999999999998</v>
      </c>
    </row>
    <row r="318" spans="1:9" ht="16.5" thickBot="1" x14ac:dyDescent="0.3"/>
    <row r="319" spans="1:9" x14ac:dyDescent="0.25">
      <c r="A319" s="111" t="s">
        <v>115</v>
      </c>
      <c r="B319" s="112" t="s">
        <v>514</v>
      </c>
      <c r="C319" s="114" t="s">
        <v>513</v>
      </c>
      <c r="D319" s="258" t="s">
        <v>524</v>
      </c>
      <c r="E319" s="276" t="s">
        <v>495</v>
      </c>
    </row>
    <row r="320" spans="1:9" x14ac:dyDescent="0.25">
      <c r="A320" s="115">
        <v>0</v>
      </c>
      <c r="B320" s="116">
        <v>0</v>
      </c>
      <c r="C320" s="146">
        <v>0</v>
      </c>
      <c r="D320" s="260"/>
      <c r="E320" s="261">
        <v>0</v>
      </c>
    </row>
    <row r="321" spans="1:5" x14ac:dyDescent="0.25">
      <c r="A321" s="115">
        <v>1</v>
      </c>
      <c r="B321" s="116">
        <v>1000</v>
      </c>
      <c r="C321" s="146">
        <f>Таблица_навык_эффективность_боеприпасов[[#This Row],[опыт ]]+C320</f>
        <v>1000</v>
      </c>
      <c r="D321" s="260">
        <v>0.04</v>
      </c>
      <c r="E321" s="261">
        <f>Таблица_навык_эффективность_боеприпасов[[#This Row],[эфф. Боеприпасов]]+E320</f>
        <v>0.04</v>
      </c>
    </row>
    <row r="322" spans="1:5" x14ac:dyDescent="0.25">
      <c r="A322" s="115">
        <v>2</v>
      </c>
      <c r="B322" s="116">
        <v>14000</v>
      </c>
      <c r="C322" s="146">
        <f>Таблица_навык_эффективность_боеприпасов[[#This Row],[опыт ]]+C321</f>
        <v>15000</v>
      </c>
      <c r="D322" s="260">
        <v>0.04</v>
      </c>
      <c r="E322" s="261">
        <f>Таблица_навык_эффективность_боеприпасов[[#This Row],[эфф. Боеприпасов]]+E321</f>
        <v>0.08</v>
      </c>
    </row>
    <row r="323" spans="1:5" x14ac:dyDescent="0.25">
      <c r="A323" s="115">
        <v>3</v>
      </c>
      <c r="B323" s="116">
        <v>20000</v>
      </c>
      <c r="C323" s="146">
        <f>Таблица_навык_эффективность_боеприпасов[[#This Row],[опыт ]]+C322</f>
        <v>35000</v>
      </c>
      <c r="D323" s="260">
        <v>0.04</v>
      </c>
      <c r="E323" s="261">
        <f>Таблица_навык_эффективность_боеприпасов[[#This Row],[эфф. Боеприпасов]]+E322</f>
        <v>0.12</v>
      </c>
    </row>
    <row r="324" spans="1:5" x14ac:dyDescent="0.25">
      <c r="A324" s="115">
        <v>4</v>
      </c>
      <c r="B324" s="116">
        <v>24000</v>
      </c>
      <c r="C324" s="146">
        <f>Таблица_навык_эффективность_боеприпасов[[#This Row],[опыт ]]+C323</f>
        <v>59000</v>
      </c>
      <c r="D324" s="260">
        <v>0.04</v>
      </c>
      <c r="E324" s="261">
        <f>Таблица_навык_эффективность_боеприпасов[[#This Row],[эфф. Боеприпасов]]+E323</f>
        <v>0.16</v>
      </c>
    </row>
    <row r="325" spans="1:5" x14ac:dyDescent="0.25">
      <c r="A325" s="115">
        <v>5</v>
      </c>
      <c r="B325" s="116">
        <v>31000</v>
      </c>
      <c r="C325" s="146">
        <f>Таблица_навык_эффективность_боеприпасов[[#This Row],[опыт ]]+C324</f>
        <v>90000</v>
      </c>
      <c r="D325" s="260">
        <v>0.04</v>
      </c>
      <c r="E325" s="261">
        <f>Таблица_навык_эффективность_боеприпасов[[#This Row],[эфф. Боеприпасов]]+E324</f>
        <v>0.2</v>
      </c>
    </row>
    <row r="326" spans="1:5" x14ac:dyDescent="0.25">
      <c r="A326" s="115">
        <v>6</v>
      </c>
      <c r="B326" s="116">
        <v>38000</v>
      </c>
      <c r="C326" s="146">
        <f>Таблица_навык_эффективность_боеприпасов[[#This Row],[опыт ]]+C325</f>
        <v>128000</v>
      </c>
      <c r="D326" s="260">
        <v>0.04</v>
      </c>
      <c r="E326" s="261">
        <f>Таблица_навык_эффективность_боеприпасов[[#This Row],[эфф. Боеприпасов]]+E325</f>
        <v>0.24000000000000002</v>
      </c>
    </row>
    <row r="327" spans="1:5" x14ac:dyDescent="0.25">
      <c r="A327" s="115">
        <v>7</v>
      </c>
      <c r="B327" s="116">
        <v>47000</v>
      </c>
      <c r="C327" s="146">
        <f>Таблица_навык_эффективность_боеприпасов[[#This Row],[опыт ]]+C326</f>
        <v>175000</v>
      </c>
      <c r="D327" s="260">
        <v>0.04</v>
      </c>
      <c r="E327" s="261">
        <f>Таблица_навык_эффективность_боеприпасов[[#This Row],[эфф. Боеприпасов]]+E326</f>
        <v>0.28000000000000003</v>
      </c>
    </row>
    <row r="328" spans="1:5" x14ac:dyDescent="0.25">
      <c r="A328" s="115">
        <v>8</v>
      </c>
      <c r="B328" s="116">
        <v>59000</v>
      </c>
      <c r="C328" s="146">
        <f>Таблица_навык_эффективность_боеприпасов[[#This Row],[опыт ]]+C327</f>
        <v>234000</v>
      </c>
      <c r="D328" s="260">
        <v>0.04</v>
      </c>
      <c r="E328" s="261">
        <f>Таблица_навык_эффективность_боеприпасов[[#This Row],[эфф. Боеприпасов]]+E327</f>
        <v>0.32</v>
      </c>
    </row>
    <row r="329" spans="1:5" x14ac:dyDescent="0.25">
      <c r="A329" s="115">
        <v>9</v>
      </c>
      <c r="B329" s="116">
        <v>72000</v>
      </c>
      <c r="C329" s="146">
        <f>Таблица_навык_эффективность_боеприпасов[[#This Row],[опыт ]]+C328</f>
        <v>306000</v>
      </c>
      <c r="D329" s="260">
        <v>0.04</v>
      </c>
      <c r="E329" s="261">
        <f>Таблица_навык_эффективность_боеприпасов[[#This Row],[эфф. Боеприпасов]]+E328</f>
        <v>0.36</v>
      </c>
    </row>
    <row r="330" spans="1:5" x14ac:dyDescent="0.25">
      <c r="A330" s="117">
        <v>10</v>
      </c>
      <c r="B330" s="116">
        <v>88000</v>
      </c>
      <c r="C330" s="146">
        <f>Таблица_навык_эффективность_боеприпасов[[#This Row],[опыт ]]+C329</f>
        <v>394000</v>
      </c>
      <c r="D330" s="260">
        <v>0.04</v>
      </c>
      <c r="E330" s="261">
        <f>Таблица_навык_эффективность_боеприпасов[[#This Row],[эфф. Боеприпасов]]+E329</f>
        <v>0.39999999999999997</v>
      </c>
    </row>
    <row r="331" spans="1:5" x14ac:dyDescent="0.25">
      <c r="A331" s="117">
        <v>11</v>
      </c>
      <c r="B331" s="116">
        <v>107000</v>
      </c>
      <c r="C331" s="146">
        <f>Таблица_навык_эффективность_боеприпасов[[#This Row],[опыт ]]+C330</f>
        <v>501000</v>
      </c>
      <c r="D331" s="260">
        <v>0.04</v>
      </c>
      <c r="E331" s="261">
        <f>Таблица_навык_эффективность_боеприпасов[[#This Row],[эфф. Боеприпасов]]+E330</f>
        <v>0.43999999999999995</v>
      </c>
    </row>
    <row r="332" spans="1:5" x14ac:dyDescent="0.25">
      <c r="A332" s="117">
        <v>12</v>
      </c>
      <c r="B332" s="116">
        <v>130000</v>
      </c>
      <c r="C332" s="146">
        <f>Таблица_навык_эффективность_боеприпасов[[#This Row],[опыт ]]+C331</f>
        <v>631000</v>
      </c>
      <c r="D332" s="260">
        <v>0.04</v>
      </c>
      <c r="E332" s="261">
        <f>Таблица_навык_эффективность_боеприпасов[[#This Row],[эфф. Боеприпасов]]+E331</f>
        <v>0.47999999999999993</v>
      </c>
    </row>
    <row r="333" spans="1:5" x14ac:dyDescent="0.25">
      <c r="A333" s="117">
        <v>13</v>
      </c>
      <c r="B333" s="116">
        <v>158000</v>
      </c>
      <c r="C333" s="146">
        <f>Таблица_навык_эффективность_боеприпасов[[#This Row],[опыт ]]+C332</f>
        <v>789000</v>
      </c>
      <c r="D333" s="260">
        <v>0.04</v>
      </c>
      <c r="E333" s="261">
        <f>Таблица_навык_эффективность_боеприпасов[[#This Row],[эфф. Боеприпасов]]+E332</f>
        <v>0.51999999999999991</v>
      </c>
    </row>
    <row r="334" spans="1:5" x14ac:dyDescent="0.25">
      <c r="A334" s="117">
        <v>14</v>
      </c>
      <c r="B334" s="116">
        <v>191000</v>
      </c>
      <c r="C334" s="146">
        <f>Таблица_навык_эффективность_боеприпасов[[#This Row],[опыт ]]+C333</f>
        <v>980000</v>
      </c>
      <c r="D334" s="260">
        <v>0.04</v>
      </c>
      <c r="E334" s="261">
        <f>Таблица_навык_эффективность_боеприпасов[[#This Row],[эфф. Боеприпасов]]+E333</f>
        <v>0.55999999999999994</v>
      </c>
    </row>
    <row r="335" spans="1:5" x14ac:dyDescent="0.25">
      <c r="A335" s="115">
        <v>15</v>
      </c>
      <c r="B335" s="116">
        <v>230000</v>
      </c>
      <c r="C335" s="146">
        <f>Таблица_навык_эффективность_боеприпасов[[#This Row],[опыт ]]+C334</f>
        <v>1210000</v>
      </c>
      <c r="D335" s="260">
        <v>0.04</v>
      </c>
      <c r="E335" s="261">
        <f>Таблица_навык_эффективность_боеприпасов[[#This Row],[эфф. Боеприпасов]]+E334</f>
        <v>0.6</v>
      </c>
    </row>
    <row r="336" spans="1:5" x14ac:dyDescent="0.25">
      <c r="A336" s="115">
        <v>16</v>
      </c>
      <c r="B336" s="116">
        <v>276000</v>
      </c>
      <c r="C336" s="146">
        <f>Таблица_навык_эффективность_боеприпасов[[#This Row],[опыт ]]+C335</f>
        <v>1486000</v>
      </c>
      <c r="D336" s="260">
        <v>0.04</v>
      </c>
      <c r="E336" s="261">
        <f>Таблица_навык_эффективность_боеприпасов[[#This Row],[эфф. Боеприпасов]]+E335</f>
        <v>0.64</v>
      </c>
    </row>
    <row r="337" spans="1:5" x14ac:dyDescent="0.25">
      <c r="A337" s="115">
        <v>17</v>
      </c>
      <c r="B337" s="116">
        <v>332000</v>
      </c>
      <c r="C337" s="146">
        <f>Таблица_навык_эффективность_боеприпасов[[#This Row],[опыт ]]+C336</f>
        <v>1818000</v>
      </c>
      <c r="D337" s="260">
        <v>0.04</v>
      </c>
      <c r="E337" s="261">
        <f>Таблица_навык_эффективность_боеприпасов[[#This Row],[эфф. Боеприпасов]]+E336</f>
        <v>0.68</v>
      </c>
    </row>
    <row r="338" spans="1:5" x14ac:dyDescent="0.25">
      <c r="A338" s="115">
        <v>18</v>
      </c>
      <c r="B338" s="116">
        <v>399000</v>
      </c>
      <c r="C338" s="146">
        <f>Таблица_навык_эффективность_боеприпасов[[#This Row],[опыт ]]+C337</f>
        <v>2217000</v>
      </c>
      <c r="D338" s="260">
        <v>0.04</v>
      </c>
      <c r="E338" s="261">
        <f>Таблица_навык_эффективность_боеприпасов[[#This Row],[эфф. Боеприпасов]]+E337</f>
        <v>0.72000000000000008</v>
      </c>
    </row>
    <row r="339" spans="1:5" x14ac:dyDescent="0.25">
      <c r="A339" s="115">
        <v>19</v>
      </c>
      <c r="B339" s="116">
        <v>476000</v>
      </c>
      <c r="C339" s="146">
        <f>Таблица_навык_эффективность_боеприпасов[[#This Row],[опыт ]]+C338</f>
        <v>2693000</v>
      </c>
      <c r="D339" s="260">
        <v>0.04</v>
      </c>
      <c r="E339" s="261">
        <f>Таблица_навык_эффективность_боеприпасов[[#This Row],[эфф. Боеприпасов]]+E338</f>
        <v>0.76000000000000012</v>
      </c>
    </row>
    <row r="340" spans="1:5" x14ac:dyDescent="0.25">
      <c r="A340" s="115">
        <v>20</v>
      </c>
      <c r="B340" s="116">
        <v>569000</v>
      </c>
      <c r="C340" s="146">
        <f>Таблица_навык_эффективность_боеприпасов[[#This Row],[опыт ]]+C339</f>
        <v>3262000</v>
      </c>
      <c r="D340" s="260">
        <v>0.04</v>
      </c>
      <c r="E340" s="261">
        <f>Таблица_навык_эффективность_боеприпасов[[#This Row],[эфф. Боеприпасов]]+E339</f>
        <v>0.80000000000000016</v>
      </c>
    </row>
    <row r="341" spans="1:5" x14ac:dyDescent="0.25">
      <c r="A341" s="115">
        <v>21</v>
      </c>
      <c r="B341" s="116">
        <v>680000</v>
      </c>
      <c r="C341" s="146">
        <f>Таблица_навык_эффективность_боеприпасов[[#This Row],[опыт ]]+C340</f>
        <v>3942000</v>
      </c>
      <c r="D341" s="260">
        <v>0.03</v>
      </c>
      <c r="E341" s="261">
        <f>Таблица_навык_эффективность_боеприпасов[[#This Row],[эфф. Боеприпасов]]+E340</f>
        <v>0.83000000000000018</v>
      </c>
    </row>
    <row r="342" spans="1:5" x14ac:dyDescent="0.25">
      <c r="A342" s="115">
        <v>22</v>
      </c>
      <c r="B342" s="116">
        <v>809000</v>
      </c>
      <c r="C342" s="146">
        <f>Таблица_навык_эффективность_боеприпасов[[#This Row],[опыт ]]+C341</f>
        <v>4751000</v>
      </c>
      <c r="D342" s="260">
        <v>0.03</v>
      </c>
      <c r="E342" s="261">
        <f>Таблица_навык_эффективность_боеприпасов[[#This Row],[эфф. Боеприпасов]]+E341</f>
        <v>0.86000000000000021</v>
      </c>
    </row>
    <row r="343" spans="1:5" x14ac:dyDescent="0.25">
      <c r="A343" s="115">
        <v>23</v>
      </c>
      <c r="B343" s="116">
        <v>963000</v>
      </c>
      <c r="C343" s="146">
        <f>Таблица_навык_эффективность_боеприпасов[[#This Row],[опыт ]]+C342</f>
        <v>5714000</v>
      </c>
      <c r="D343" s="260">
        <v>0.03</v>
      </c>
      <c r="E343" s="261">
        <f>Таблица_навык_эффективность_боеприпасов[[#This Row],[эфф. Боеприпасов]]+E342</f>
        <v>0.89000000000000024</v>
      </c>
    </row>
    <row r="344" spans="1:5" x14ac:dyDescent="0.25">
      <c r="A344" s="115">
        <v>24</v>
      </c>
      <c r="B344" s="116">
        <v>1145000</v>
      </c>
      <c r="C344" s="146">
        <f>Таблица_навык_эффективность_боеприпасов[[#This Row],[опыт ]]+C343</f>
        <v>6859000</v>
      </c>
      <c r="D344" s="260">
        <v>0.03</v>
      </c>
      <c r="E344" s="261">
        <f>Таблица_навык_эффективность_боеприпасов[[#This Row],[эфф. Боеприпасов]]+E343</f>
        <v>0.92000000000000026</v>
      </c>
    </row>
    <row r="345" spans="1:5" x14ac:dyDescent="0.25">
      <c r="A345" s="115">
        <v>25</v>
      </c>
      <c r="B345" s="116">
        <v>1360000</v>
      </c>
      <c r="C345" s="146">
        <f>Таблица_навык_эффективность_боеприпасов[[#This Row],[опыт ]]+C344</f>
        <v>8219000</v>
      </c>
      <c r="D345" s="260">
        <v>0.03</v>
      </c>
      <c r="E345" s="261">
        <f>Таблица_навык_эффективность_боеприпасов[[#This Row],[эфф. Боеприпасов]]+E344</f>
        <v>0.95000000000000029</v>
      </c>
    </row>
    <row r="346" spans="1:5" x14ac:dyDescent="0.25">
      <c r="A346" s="115">
        <v>26</v>
      </c>
      <c r="B346" s="116">
        <v>1613000</v>
      </c>
      <c r="C346" s="146">
        <f>Таблица_навык_эффективность_боеприпасов[[#This Row],[опыт ]]+C345</f>
        <v>9832000</v>
      </c>
      <c r="D346" s="260">
        <v>0.03</v>
      </c>
      <c r="E346" s="261">
        <f>Таблица_навык_эффективность_боеприпасов[[#This Row],[эфф. Боеприпасов]]+E345</f>
        <v>0.98000000000000032</v>
      </c>
    </row>
    <row r="347" spans="1:5" x14ac:dyDescent="0.25">
      <c r="A347" s="115">
        <v>27</v>
      </c>
      <c r="B347" s="116">
        <v>1912000</v>
      </c>
      <c r="C347" s="146">
        <f>Таблица_навык_эффективность_боеприпасов[[#This Row],[опыт ]]+C346</f>
        <v>11744000</v>
      </c>
      <c r="D347" s="260">
        <v>0.03</v>
      </c>
      <c r="E347" s="261">
        <f>Таблица_навык_эффективность_боеприпасов[[#This Row],[эфф. Боеприпасов]]+E346</f>
        <v>1.0100000000000002</v>
      </c>
    </row>
    <row r="348" spans="1:5" x14ac:dyDescent="0.25">
      <c r="A348" s="115">
        <v>28</v>
      </c>
      <c r="B348" s="116">
        <v>2263000</v>
      </c>
      <c r="C348" s="146">
        <f>Таблица_навык_эффективность_боеприпасов[[#This Row],[опыт ]]+C347</f>
        <v>14007000</v>
      </c>
      <c r="D348" s="260">
        <v>0.03</v>
      </c>
      <c r="E348" s="261">
        <f>Таблица_навык_эффективность_боеприпасов[[#This Row],[эфф. Боеприпасов]]+E347</f>
        <v>1.0400000000000003</v>
      </c>
    </row>
    <row r="349" spans="1:5" x14ac:dyDescent="0.25">
      <c r="A349" s="115">
        <v>29</v>
      </c>
      <c r="B349" s="116">
        <v>2679000</v>
      </c>
      <c r="C349" s="146">
        <f>Таблица_навык_эффективность_боеприпасов[[#This Row],[опыт ]]+C348</f>
        <v>16686000</v>
      </c>
      <c r="D349" s="260">
        <v>0.03</v>
      </c>
      <c r="E349" s="261">
        <f>Таблица_навык_эффективность_боеприпасов[[#This Row],[эфф. Боеприпасов]]+E348</f>
        <v>1.0700000000000003</v>
      </c>
    </row>
    <row r="350" spans="1:5" ht="16.5" thickBot="1" x14ac:dyDescent="0.3">
      <c r="A350" s="118">
        <v>30</v>
      </c>
      <c r="B350" s="119">
        <v>3167000</v>
      </c>
      <c r="C350" s="274">
        <f>Таблица_навык_эффективность_боеприпасов[[#This Row],[опыт ]]+C349</f>
        <v>19853000</v>
      </c>
      <c r="D350" s="266">
        <v>0.03</v>
      </c>
      <c r="E350" s="264">
        <f>Таблица_навык_эффективность_боеприпасов[[#This Row],[эфф. Боеприпасов]]+E349</f>
        <v>1.1000000000000003</v>
      </c>
    </row>
    <row r="351" spans="1:5" x14ac:dyDescent="0.25">
      <c r="A351" s="110"/>
      <c r="B351" s="110"/>
      <c r="C351" s="110"/>
      <c r="D351" s="110"/>
      <c r="E351" s="110"/>
    </row>
    <row r="413" spans="3:5" x14ac:dyDescent="0.25">
      <c r="C413" s="9"/>
      <c r="D413" s="9"/>
    </row>
    <row r="414" spans="3:5" x14ac:dyDescent="0.25">
      <c r="C414" s="9"/>
      <c r="D414" s="9"/>
      <c r="E414" s="11"/>
    </row>
    <row r="415" spans="3:5" x14ac:dyDescent="0.25">
      <c r="C415" s="9"/>
      <c r="D415" s="9"/>
    </row>
    <row r="416" spans="3:5" x14ac:dyDescent="0.25">
      <c r="C416" s="9"/>
      <c r="D416" s="9"/>
    </row>
    <row r="417" spans="1:15" x14ac:dyDescent="0.25">
      <c r="C417" s="9"/>
      <c r="D417" s="9"/>
    </row>
    <row r="418" spans="1:15" x14ac:dyDescent="0.25">
      <c r="C418" s="9"/>
      <c r="D418" s="9"/>
    </row>
    <row r="419" spans="1:15" x14ac:dyDescent="0.25">
      <c r="C419" s="9"/>
      <c r="D419" s="9"/>
    </row>
    <row r="420" spans="1:15" x14ac:dyDescent="0.25">
      <c r="C420" s="9"/>
      <c r="D420" s="9"/>
    </row>
    <row r="421" spans="1:15" x14ac:dyDescent="0.25">
      <c r="A421" s="12"/>
      <c r="C421" s="13"/>
      <c r="D421" s="13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</row>
    <row r="422" spans="1:15" x14ac:dyDescent="0.25">
      <c r="A422" s="10"/>
      <c r="C422" s="9"/>
      <c r="D422" s="9"/>
    </row>
    <row r="423" spans="1:15" x14ac:dyDescent="0.25">
      <c r="A423" s="10"/>
      <c r="C423" s="9"/>
      <c r="D423" s="9"/>
    </row>
    <row r="424" spans="1:15" x14ac:dyDescent="0.25">
      <c r="A424" s="10"/>
      <c r="C424" s="9"/>
      <c r="D424" s="9"/>
    </row>
    <row r="425" spans="1:15" x14ac:dyDescent="0.25">
      <c r="A425" s="10"/>
      <c r="C425" s="9"/>
      <c r="D425" s="9"/>
    </row>
    <row r="426" spans="1:15" x14ac:dyDescent="0.25">
      <c r="C426" s="9"/>
      <c r="D426" s="9"/>
    </row>
    <row r="427" spans="1:15" x14ac:dyDescent="0.25">
      <c r="C427" s="9"/>
      <c r="D427" s="9"/>
    </row>
    <row r="428" spans="1:15" x14ac:dyDescent="0.25">
      <c r="C428" s="9"/>
      <c r="D428" s="9"/>
    </row>
    <row r="429" spans="1:15" x14ac:dyDescent="0.25">
      <c r="C429" s="9"/>
      <c r="D429" s="9"/>
    </row>
    <row r="430" spans="1:15" x14ac:dyDescent="0.25">
      <c r="C430" s="9"/>
      <c r="D430" s="9"/>
    </row>
    <row r="431" spans="1:15" x14ac:dyDescent="0.25">
      <c r="C431" s="9"/>
      <c r="D431" s="9"/>
    </row>
    <row r="432" spans="1:15" x14ac:dyDescent="0.25">
      <c r="C432" s="9"/>
      <c r="D432" s="9"/>
    </row>
    <row r="433" spans="3:4" x14ac:dyDescent="0.25">
      <c r="C433" s="9"/>
      <c r="D433" s="9"/>
    </row>
    <row r="434" spans="3:4" x14ac:dyDescent="0.25">
      <c r="C434" s="9"/>
      <c r="D434" s="9"/>
    </row>
    <row r="435" spans="3:4" x14ac:dyDescent="0.25">
      <c r="C435" s="9"/>
      <c r="D435" s="9"/>
    </row>
    <row r="436" spans="3:4" x14ac:dyDescent="0.25">
      <c r="C436" s="9"/>
      <c r="D436" s="9"/>
    </row>
    <row r="437" spans="3:4" x14ac:dyDescent="0.25">
      <c r="C437" s="9"/>
      <c r="D437" s="9"/>
    </row>
    <row r="438" spans="3:4" x14ac:dyDescent="0.25">
      <c r="C438" s="9"/>
      <c r="D438" s="9"/>
    </row>
    <row r="439" spans="3:4" x14ac:dyDescent="0.25">
      <c r="C439" s="9"/>
      <c r="D439" s="9"/>
    </row>
    <row r="440" spans="3:4" x14ac:dyDescent="0.25">
      <c r="C440" s="9"/>
      <c r="D440" s="9"/>
    </row>
    <row r="441" spans="3:4" x14ac:dyDescent="0.25">
      <c r="C441" s="9"/>
      <c r="D441" s="9"/>
    </row>
  </sheetData>
  <mergeCells count="7">
    <mergeCell ref="BM1:BY1"/>
    <mergeCell ref="A1:O1"/>
    <mergeCell ref="BA1:BE1"/>
    <mergeCell ref="BG1:BK1"/>
    <mergeCell ref="Q1:U1"/>
    <mergeCell ref="AQ1:AU1"/>
    <mergeCell ref="AE1:AO1"/>
  </mergeCells>
  <pageMargins left="0.7" right="0.7" top="0.75" bottom="0.75" header="0.3" footer="0.3"/>
  <pageSetup paperSize="9" orientation="portrait" r:id="rId1"/>
  <tableParts count="4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3"/>
  <dimension ref="A1:Z111"/>
  <sheetViews>
    <sheetView zoomScale="80" zoomScaleNormal="80" workbookViewId="0">
      <selection activeCell="H86" sqref="H86"/>
    </sheetView>
  </sheetViews>
  <sheetFormatPr defaultColWidth="12" defaultRowHeight="15" customHeight="1" x14ac:dyDescent="0.2"/>
  <cols>
    <col min="1" max="1" width="12" style="16"/>
    <col min="2" max="3" width="13.7109375" style="17" customWidth="1"/>
    <col min="4" max="11" width="13.7109375" style="16" customWidth="1"/>
    <col min="12" max="12" width="13.7109375" style="17" customWidth="1"/>
    <col min="13" max="14" width="13.7109375" style="16" customWidth="1"/>
    <col min="15" max="15" width="12" style="16"/>
    <col min="16" max="16" width="19.42578125" style="16" customWidth="1"/>
    <col min="17" max="18" width="12" style="16"/>
    <col min="19" max="20" width="12" style="16" customWidth="1"/>
    <col min="21" max="16384" width="12" style="16"/>
  </cols>
  <sheetData>
    <row r="1" spans="1:26" ht="24" customHeight="1" x14ac:dyDescent="0.2">
      <c r="A1" s="1258" t="s">
        <v>324</v>
      </c>
      <c r="B1" s="578" t="s">
        <v>339</v>
      </c>
      <c r="C1" s="579" t="s">
        <v>340</v>
      </c>
      <c r="D1" s="580" t="s">
        <v>341</v>
      </c>
      <c r="E1" s="581" t="s">
        <v>342</v>
      </c>
      <c r="F1" s="580" t="s">
        <v>2</v>
      </c>
      <c r="G1" s="582" t="s">
        <v>3</v>
      </c>
      <c r="H1" s="581" t="s">
        <v>4</v>
      </c>
      <c r="I1" s="580" t="s">
        <v>345</v>
      </c>
      <c r="J1" s="581" t="s">
        <v>346</v>
      </c>
      <c r="K1" s="583" t="s">
        <v>349</v>
      </c>
      <c r="L1" s="1259" t="s">
        <v>350</v>
      </c>
      <c r="M1" s="584" t="s">
        <v>351</v>
      </c>
      <c r="N1" s="1260" t="s">
        <v>133</v>
      </c>
      <c r="P1" s="621" t="s">
        <v>324</v>
      </c>
      <c r="Q1" s="562" t="s">
        <v>53</v>
      </c>
      <c r="R1" s="563" t="s">
        <v>560</v>
      </c>
      <c r="S1" s="564" t="s">
        <v>320</v>
      </c>
      <c r="T1" s="565" t="s">
        <v>609</v>
      </c>
      <c r="U1" s="562" t="s">
        <v>102</v>
      </c>
      <c r="V1" s="562" t="s">
        <v>103</v>
      </c>
      <c r="W1" s="563" t="s">
        <v>96</v>
      </c>
      <c r="X1" s="562" t="s">
        <v>608</v>
      </c>
      <c r="Y1" s="594" t="s">
        <v>111</v>
      </c>
      <c r="Z1" s="595" t="s">
        <v>524</v>
      </c>
    </row>
    <row r="2" spans="1:26" ht="15" customHeight="1" x14ac:dyDescent="0.2">
      <c r="A2" s="622" t="s">
        <v>9</v>
      </c>
      <c r="B2" s="1257">
        <v>0.34499999999999997</v>
      </c>
      <c r="C2" s="1256">
        <v>0.17199999999999999</v>
      </c>
      <c r="D2" s="1252">
        <v>7</v>
      </c>
      <c r="E2" s="1251">
        <v>4</v>
      </c>
      <c r="F2" s="1252">
        <v>25</v>
      </c>
      <c r="G2" s="1253">
        <v>25</v>
      </c>
      <c r="H2" s="1251">
        <v>25</v>
      </c>
      <c r="I2" s="1252">
        <v>28</v>
      </c>
      <c r="J2" s="1251">
        <v>14</v>
      </c>
      <c r="K2" s="568">
        <v>25</v>
      </c>
      <c r="L2" s="569">
        <v>8.0000000000000002E-3</v>
      </c>
      <c r="M2" s="570">
        <v>0.05</v>
      </c>
      <c r="N2" s="1261">
        <v>1</v>
      </c>
      <c r="O2" s="597"/>
      <c r="P2" s="622" t="s">
        <v>52</v>
      </c>
      <c r="Q2" s="585">
        <v>0.22</v>
      </c>
      <c r="R2" s="586">
        <v>8.7999999999999995E-2</v>
      </c>
      <c r="S2" s="585">
        <v>0.15</v>
      </c>
      <c r="T2" s="586">
        <v>0.06</v>
      </c>
      <c r="U2" s="585">
        <v>0.22</v>
      </c>
      <c r="V2" s="587">
        <v>0.11</v>
      </c>
      <c r="W2" s="588">
        <v>0.05</v>
      </c>
      <c r="X2" s="587">
        <v>0.06</v>
      </c>
      <c r="Y2" s="593">
        <v>0.02</v>
      </c>
      <c r="Z2" s="596">
        <v>0.4</v>
      </c>
    </row>
    <row r="3" spans="1:26" ht="15" customHeight="1" x14ac:dyDescent="0.2">
      <c r="A3" s="622" t="s">
        <v>13</v>
      </c>
      <c r="B3" s="1257">
        <v>0.20699999999999999</v>
      </c>
      <c r="C3" s="1256">
        <v>0.10299999999999999</v>
      </c>
      <c r="D3" s="1252">
        <v>8</v>
      </c>
      <c r="E3" s="1251">
        <v>4</v>
      </c>
      <c r="F3" s="1252">
        <v>25</v>
      </c>
      <c r="G3" s="1253">
        <v>25</v>
      </c>
      <c r="H3" s="1251">
        <v>25</v>
      </c>
      <c r="I3" s="1252">
        <v>28</v>
      </c>
      <c r="J3" s="1251">
        <v>14</v>
      </c>
      <c r="K3" s="568">
        <v>25</v>
      </c>
      <c r="L3" s="569">
        <v>8.0000000000000002E-3</v>
      </c>
      <c r="M3" s="570">
        <v>0.05</v>
      </c>
      <c r="N3" s="1261">
        <v>1</v>
      </c>
      <c r="O3" s="597"/>
      <c r="P3" s="622" t="s">
        <v>54</v>
      </c>
      <c r="Q3" s="587">
        <v>0.22</v>
      </c>
      <c r="R3" s="588">
        <v>8.7999999999999995E-2</v>
      </c>
      <c r="S3" s="587">
        <v>0.15</v>
      </c>
      <c r="T3" s="586">
        <v>0.06</v>
      </c>
      <c r="U3" s="587">
        <v>0.22</v>
      </c>
      <c r="V3" s="587">
        <v>0.11</v>
      </c>
      <c r="W3" s="588">
        <v>0.05</v>
      </c>
      <c r="X3" s="587">
        <v>0.06</v>
      </c>
      <c r="Y3" s="593">
        <v>0.02</v>
      </c>
      <c r="Z3" s="596">
        <v>0.4</v>
      </c>
    </row>
    <row r="4" spans="1:26" ht="15" customHeight="1" x14ac:dyDescent="0.2">
      <c r="A4" s="622" t="s">
        <v>14</v>
      </c>
      <c r="B4" s="1257">
        <v>0.20699999999999999</v>
      </c>
      <c r="C4" s="1256">
        <v>0.10299999999999999</v>
      </c>
      <c r="D4" s="1252">
        <v>8</v>
      </c>
      <c r="E4" s="1251">
        <v>4</v>
      </c>
      <c r="F4" s="1252">
        <v>25</v>
      </c>
      <c r="G4" s="1253">
        <v>25</v>
      </c>
      <c r="H4" s="1251">
        <v>25</v>
      </c>
      <c r="I4" s="1252">
        <v>28</v>
      </c>
      <c r="J4" s="1251">
        <v>14</v>
      </c>
      <c r="K4" s="568">
        <v>25</v>
      </c>
      <c r="L4" s="569">
        <v>8.0000000000000002E-3</v>
      </c>
      <c r="M4" s="570">
        <v>0.05</v>
      </c>
      <c r="N4" s="1261">
        <v>1</v>
      </c>
      <c r="P4" s="622" t="s">
        <v>88</v>
      </c>
      <c r="Q4" s="585">
        <v>0.22</v>
      </c>
      <c r="R4" s="586">
        <v>8.7999999999999995E-2</v>
      </c>
      <c r="S4" s="585">
        <v>0.15</v>
      </c>
      <c r="T4" s="586">
        <v>0.06</v>
      </c>
      <c r="U4" s="585">
        <v>0.22</v>
      </c>
      <c r="V4" s="587">
        <v>0.11</v>
      </c>
      <c r="W4" s="588">
        <v>0.05</v>
      </c>
      <c r="X4" s="587">
        <v>0.06</v>
      </c>
      <c r="Y4" s="593">
        <v>0.02</v>
      </c>
      <c r="Z4" s="596">
        <v>0.4</v>
      </c>
    </row>
    <row r="5" spans="1:26" ht="15" customHeight="1" x14ac:dyDescent="0.2">
      <c r="A5" s="622" t="s">
        <v>15</v>
      </c>
      <c r="B5" s="1257">
        <v>0.20699999999999999</v>
      </c>
      <c r="C5" s="1256">
        <v>0.10299999999999999</v>
      </c>
      <c r="D5" s="1252">
        <v>9</v>
      </c>
      <c r="E5" s="1251">
        <v>5</v>
      </c>
      <c r="F5" s="1252">
        <v>25</v>
      </c>
      <c r="G5" s="1253">
        <v>25</v>
      </c>
      <c r="H5" s="1251">
        <v>25</v>
      </c>
      <c r="I5" s="1252">
        <v>28</v>
      </c>
      <c r="J5" s="1251">
        <v>14</v>
      </c>
      <c r="K5" s="568">
        <v>25</v>
      </c>
      <c r="L5" s="569">
        <v>8.0000000000000002E-3</v>
      </c>
      <c r="M5" s="570">
        <v>0.05</v>
      </c>
      <c r="N5" s="1261">
        <v>1</v>
      </c>
      <c r="P5" s="622" t="s">
        <v>606</v>
      </c>
      <c r="Q5" s="587">
        <v>0.11600000000000001</v>
      </c>
      <c r="R5" s="588">
        <v>4.5999999999999999E-2</v>
      </c>
      <c r="S5" s="585">
        <v>0.15</v>
      </c>
      <c r="T5" s="586">
        <v>0.06</v>
      </c>
      <c r="U5" s="587">
        <v>0.11600000000000001</v>
      </c>
      <c r="V5" s="587">
        <v>0.11</v>
      </c>
      <c r="W5" s="588">
        <v>0.05</v>
      </c>
      <c r="X5" s="587">
        <v>0.06</v>
      </c>
      <c r="Y5" s="593">
        <v>0.02</v>
      </c>
      <c r="Z5" s="596">
        <v>0.4</v>
      </c>
    </row>
    <row r="6" spans="1:26" ht="15" customHeight="1" x14ac:dyDescent="0.2">
      <c r="A6" s="622" t="s">
        <v>16</v>
      </c>
      <c r="B6" s="1257">
        <v>0.154</v>
      </c>
      <c r="C6" s="1256">
        <v>7.6999999999999999E-2</v>
      </c>
      <c r="D6" s="1252">
        <v>9</v>
      </c>
      <c r="E6" s="1251">
        <v>5</v>
      </c>
      <c r="F6" s="1252">
        <v>25</v>
      </c>
      <c r="G6" s="1253">
        <v>25</v>
      </c>
      <c r="H6" s="1251">
        <v>25</v>
      </c>
      <c r="I6" s="1252">
        <v>28</v>
      </c>
      <c r="J6" s="1251">
        <v>14</v>
      </c>
      <c r="K6" s="568">
        <v>25</v>
      </c>
      <c r="L6" s="569">
        <v>8.0000000000000002E-3</v>
      </c>
      <c r="M6" s="570">
        <v>0.05</v>
      </c>
      <c r="N6" s="1261">
        <v>1</v>
      </c>
      <c r="P6" s="622" t="s">
        <v>55</v>
      </c>
      <c r="Q6" s="585">
        <v>0.11600000000000001</v>
      </c>
      <c r="R6" s="586">
        <v>4.5999999999999999E-2</v>
      </c>
      <c r="S6" s="585">
        <v>0.15</v>
      </c>
      <c r="T6" s="586">
        <v>0.06</v>
      </c>
      <c r="U6" s="585">
        <v>0.11600000000000001</v>
      </c>
      <c r="V6" s="587">
        <v>0.11</v>
      </c>
      <c r="W6" s="588">
        <v>0.05</v>
      </c>
      <c r="X6" s="587">
        <v>0.06</v>
      </c>
      <c r="Y6" s="593">
        <v>0.02</v>
      </c>
      <c r="Z6" s="596">
        <v>0.4</v>
      </c>
    </row>
    <row r="7" spans="1:26" ht="15" customHeight="1" x14ac:dyDescent="0.2">
      <c r="A7" s="622" t="s">
        <v>17</v>
      </c>
      <c r="B7" s="1257">
        <v>0.11600000000000001</v>
      </c>
      <c r="C7" s="1256">
        <v>5.8000000000000003E-2</v>
      </c>
      <c r="D7" s="1252">
        <v>10</v>
      </c>
      <c r="E7" s="1251">
        <v>5</v>
      </c>
      <c r="F7" s="1252">
        <v>25</v>
      </c>
      <c r="G7" s="1253">
        <v>25</v>
      </c>
      <c r="H7" s="1251">
        <v>25</v>
      </c>
      <c r="I7" s="1252">
        <v>28</v>
      </c>
      <c r="J7" s="1251">
        <v>14</v>
      </c>
      <c r="K7" s="568">
        <v>25</v>
      </c>
      <c r="L7" s="569">
        <v>8.0000000000000002E-3</v>
      </c>
      <c r="M7" s="570">
        <v>0.05</v>
      </c>
      <c r="N7" s="1261">
        <v>1</v>
      </c>
      <c r="P7" s="622" t="s">
        <v>607</v>
      </c>
      <c r="Q7" s="587">
        <v>0.104</v>
      </c>
      <c r="R7" s="588">
        <v>4.2000000000000003E-2</v>
      </c>
      <c r="S7" s="585">
        <v>0.15</v>
      </c>
      <c r="T7" s="586">
        <v>0.06</v>
      </c>
      <c r="U7" s="587">
        <v>0.104</v>
      </c>
      <c r="V7" s="587">
        <v>0.11</v>
      </c>
      <c r="W7" s="588">
        <v>0.05</v>
      </c>
      <c r="X7" s="587">
        <v>0.06</v>
      </c>
      <c r="Y7" s="593">
        <v>0.02</v>
      </c>
      <c r="Z7" s="596">
        <v>0.4</v>
      </c>
    </row>
    <row r="8" spans="1:26" ht="15" customHeight="1" x14ac:dyDescent="0.2">
      <c r="A8" s="622" t="s">
        <v>18</v>
      </c>
      <c r="B8" s="1257">
        <v>8.7999999999999995E-2</v>
      </c>
      <c r="C8" s="1256">
        <v>4.3999999999999997E-2</v>
      </c>
      <c r="D8" s="1252">
        <v>10</v>
      </c>
      <c r="E8" s="1251">
        <v>5</v>
      </c>
      <c r="F8" s="1252">
        <v>25</v>
      </c>
      <c r="G8" s="1253">
        <v>25</v>
      </c>
      <c r="H8" s="1251">
        <v>25</v>
      </c>
      <c r="I8" s="1252">
        <v>28</v>
      </c>
      <c r="J8" s="1251">
        <v>14</v>
      </c>
      <c r="K8" s="568">
        <v>25</v>
      </c>
      <c r="L8" s="569">
        <v>8.0000000000000002E-3</v>
      </c>
      <c r="M8" s="570">
        <v>0.05</v>
      </c>
      <c r="N8" s="1261">
        <v>1</v>
      </c>
      <c r="P8" s="622" t="s">
        <v>57</v>
      </c>
      <c r="Q8" s="585">
        <v>7.5999999999999998E-2</v>
      </c>
      <c r="R8" s="586">
        <v>0.03</v>
      </c>
      <c r="S8" s="585">
        <v>0.15</v>
      </c>
      <c r="T8" s="586">
        <v>0.06</v>
      </c>
      <c r="U8" s="585">
        <v>7.5999999999999998E-2</v>
      </c>
      <c r="V8" s="587">
        <v>0.11</v>
      </c>
      <c r="W8" s="588">
        <v>0.05</v>
      </c>
      <c r="X8" s="587">
        <v>0.06</v>
      </c>
      <c r="Y8" s="593">
        <v>0.02</v>
      </c>
      <c r="Z8" s="596">
        <v>0.4</v>
      </c>
    </row>
    <row r="9" spans="1:26" ht="15" customHeight="1" thickBot="1" x14ac:dyDescent="0.25">
      <c r="A9" s="623" t="s">
        <v>19</v>
      </c>
      <c r="B9" s="571">
        <v>0.08</v>
      </c>
      <c r="C9" s="572">
        <v>0.04</v>
      </c>
      <c r="D9" s="573">
        <v>10</v>
      </c>
      <c r="E9" s="574">
        <v>5</v>
      </c>
      <c r="F9" s="573">
        <v>25</v>
      </c>
      <c r="G9" s="575">
        <v>25</v>
      </c>
      <c r="H9" s="574">
        <v>25</v>
      </c>
      <c r="I9" s="573">
        <v>28</v>
      </c>
      <c r="J9" s="574">
        <v>14</v>
      </c>
      <c r="K9" s="576">
        <v>25</v>
      </c>
      <c r="L9" s="1262">
        <v>8.0000000000000002E-3</v>
      </c>
      <c r="M9" s="577">
        <v>0.05</v>
      </c>
      <c r="N9" s="1263">
        <v>1</v>
      </c>
      <c r="P9" s="622" t="s">
        <v>56</v>
      </c>
      <c r="Q9" s="587">
        <v>6.2E-2</v>
      </c>
      <c r="R9" s="588">
        <v>2.5000000000000001E-2</v>
      </c>
      <c r="S9" s="585">
        <v>0.15</v>
      </c>
      <c r="T9" s="586">
        <v>0.06</v>
      </c>
      <c r="U9" s="587">
        <v>6.2E-2</v>
      </c>
      <c r="V9" s="587">
        <v>0.11</v>
      </c>
      <c r="W9" s="588">
        <v>0.05</v>
      </c>
      <c r="X9" s="587">
        <v>0.06</v>
      </c>
      <c r="Y9" s="593">
        <v>0.02</v>
      </c>
      <c r="Z9" s="596">
        <v>0.4</v>
      </c>
    </row>
    <row r="10" spans="1:26" ht="15" customHeight="1" thickBot="1" x14ac:dyDescent="0.25">
      <c r="A10" s="1264"/>
      <c r="B10" s="1265"/>
      <c r="C10" s="1265"/>
      <c r="D10" s="1264"/>
      <c r="E10" s="1264"/>
      <c r="F10" s="1264"/>
      <c r="G10" s="1264"/>
      <c r="H10" s="1264"/>
      <c r="I10" s="1264"/>
      <c r="J10" s="1264"/>
      <c r="K10" s="1264"/>
      <c r="L10" s="1265"/>
      <c r="M10" s="1265"/>
      <c r="N10" s="1264"/>
      <c r="P10" s="622" t="s">
        <v>58</v>
      </c>
      <c r="Q10" s="585">
        <v>5.8000000000000003E-2</v>
      </c>
      <c r="R10" s="586">
        <v>2.3E-2</v>
      </c>
      <c r="S10" s="585">
        <v>0.15</v>
      </c>
      <c r="T10" s="586">
        <v>0.06</v>
      </c>
      <c r="U10" s="585">
        <v>5.8000000000000003E-2</v>
      </c>
      <c r="V10" s="587">
        <v>0.11</v>
      </c>
      <c r="W10" s="588">
        <v>0.05</v>
      </c>
      <c r="X10" s="587">
        <v>0.06</v>
      </c>
      <c r="Y10" s="593">
        <v>0.02</v>
      </c>
      <c r="Z10" s="596">
        <v>0.4</v>
      </c>
    </row>
    <row r="11" spans="1:26" ht="15" customHeight="1" x14ac:dyDescent="0.2">
      <c r="A11" s="1266" t="s">
        <v>21</v>
      </c>
      <c r="B11" s="1267">
        <v>0.46300000000000002</v>
      </c>
      <c r="C11" s="1268">
        <v>0.23100000000000001</v>
      </c>
      <c r="D11" s="625">
        <v>9</v>
      </c>
      <c r="E11" s="1269">
        <v>5</v>
      </c>
      <c r="F11" s="625">
        <v>20</v>
      </c>
      <c r="G11" s="1270">
        <v>20</v>
      </c>
      <c r="H11" s="1269">
        <v>20</v>
      </c>
      <c r="I11" s="625">
        <v>31</v>
      </c>
      <c r="J11" s="1269">
        <v>15</v>
      </c>
      <c r="K11" s="1271">
        <v>20</v>
      </c>
      <c r="L11" s="1272">
        <v>6.0000000000000001E-3</v>
      </c>
      <c r="M11" s="1273">
        <v>0.05</v>
      </c>
      <c r="N11" s="1274">
        <v>1</v>
      </c>
      <c r="P11" s="622" t="s">
        <v>59</v>
      </c>
      <c r="Q11" s="587">
        <v>0.06</v>
      </c>
      <c r="R11" s="588">
        <v>2.4E-2</v>
      </c>
      <c r="S11" s="585">
        <v>0.15</v>
      </c>
      <c r="T11" s="586">
        <v>0.06</v>
      </c>
      <c r="U11" s="587">
        <v>0.06</v>
      </c>
      <c r="V11" s="587">
        <v>0.11</v>
      </c>
      <c r="W11" s="588">
        <v>0.05</v>
      </c>
      <c r="X11" s="587">
        <v>0.06</v>
      </c>
      <c r="Y11" s="593">
        <v>0.02</v>
      </c>
      <c r="Z11" s="596">
        <v>0.4</v>
      </c>
    </row>
    <row r="12" spans="1:26" ht="15" customHeight="1" x14ac:dyDescent="0.2">
      <c r="A12" s="622" t="s">
        <v>22</v>
      </c>
      <c r="B12" s="1257">
        <v>0.27500000000000002</v>
      </c>
      <c r="C12" s="1256">
        <v>0.13700000000000001</v>
      </c>
      <c r="D12" s="1252">
        <v>10</v>
      </c>
      <c r="E12" s="1251">
        <v>5</v>
      </c>
      <c r="F12" s="1252">
        <v>20</v>
      </c>
      <c r="G12" s="1253">
        <v>20</v>
      </c>
      <c r="H12" s="1251">
        <v>20</v>
      </c>
      <c r="I12" s="1252">
        <v>31</v>
      </c>
      <c r="J12" s="1251">
        <v>15</v>
      </c>
      <c r="K12" s="568">
        <v>20</v>
      </c>
      <c r="L12" s="569">
        <v>6.0000000000000001E-3</v>
      </c>
      <c r="M12" s="570">
        <v>0.05</v>
      </c>
      <c r="N12" s="1261">
        <v>1</v>
      </c>
      <c r="P12" s="622" t="s">
        <v>60</v>
      </c>
      <c r="Q12" s="585">
        <v>5.8000000000000003E-2</v>
      </c>
      <c r="R12" s="586">
        <v>2.3E-2</v>
      </c>
      <c r="S12" s="585">
        <v>0.15</v>
      </c>
      <c r="T12" s="586">
        <v>0.06</v>
      </c>
      <c r="U12" s="585">
        <v>5.8000000000000003E-2</v>
      </c>
      <c r="V12" s="587">
        <v>0.11</v>
      </c>
      <c r="W12" s="588">
        <v>0.05</v>
      </c>
      <c r="X12" s="587">
        <v>0.06</v>
      </c>
      <c r="Y12" s="593">
        <v>0.02</v>
      </c>
      <c r="Z12" s="596">
        <v>0.4</v>
      </c>
    </row>
    <row r="13" spans="1:26" ht="15" customHeight="1" x14ac:dyDescent="0.2">
      <c r="A13" s="622" t="s">
        <v>23</v>
      </c>
      <c r="B13" s="1257">
        <v>0.21299999999999999</v>
      </c>
      <c r="C13" s="1256">
        <v>0.106</v>
      </c>
      <c r="D13" s="1252">
        <v>10</v>
      </c>
      <c r="E13" s="1251">
        <v>5</v>
      </c>
      <c r="F13" s="1252">
        <v>20</v>
      </c>
      <c r="G13" s="1253">
        <v>20</v>
      </c>
      <c r="H13" s="1251">
        <v>20</v>
      </c>
      <c r="I13" s="1252">
        <v>31</v>
      </c>
      <c r="J13" s="1251">
        <v>15</v>
      </c>
      <c r="K13" s="568">
        <v>20</v>
      </c>
      <c r="L13" s="569">
        <v>6.0000000000000001E-3</v>
      </c>
      <c r="M13" s="570">
        <v>0.05</v>
      </c>
      <c r="N13" s="1261">
        <v>1</v>
      </c>
      <c r="P13" s="622" t="s">
        <v>61</v>
      </c>
      <c r="Q13" s="587">
        <v>5.3999999999999999E-2</v>
      </c>
      <c r="R13" s="588">
        <v>2.1999999999999999E-2</v>
      </c>
      <c r="S13" s="585">
        <v>0.15</v>
      </c>
      <c r="T13" s="586">
        <v>0.06</v>
      </c>
      <c r="U13" s="587">
        <v>5.3999999999999999E-2</v>
      </c>
      <c r="V13" s="587">
        <v>0.11</v>
      </c>
      <c r="W13" s="588">
        <v>0.05</v>
      </c>
      <c r="X13" s="587">
        <v>0.06</v>
      </c>
      <c r="Y13" s="593">
        <v>0.02</v>
      </c>
      <c r="Z13" s="596">
        <v>0.4</v>
      </c>
    </row>
    <row r="14" spans="1:26" ht="15" customHeight="1" x14ac:dyDescent="0.2">
      <c r="A14" s="622" t="s">
        <v>24</v>
      </c>
      <c r="B14" s="1257">
        <v>0.17499999999999999</v>
      </c>
      <c r="C14" s="1256">
        <v>8.6999999999999994E-2</v>
      </c>
      <c r="D14" s="1252">
        <v>11</v>
      </c>
      <c r="E14" s="1251">
        <v>6</v>
      </c>
      <c r="F14" s="1252">
        <v>20</v>
      </c>
      <c r="G14" s="1253">
        <v>20</v>
      </c>
      <c r="H14" s="1251">
        <v>20</v>
      </c>
      <c r="I14" s="1252">
        <v>31</v>
      </c>
      <c r="J14" s="1251">
        <v>15</v>
      </c>
      <c r="K14" s="568">
        <v>20</v>
      </c>
      <c r="L14" s="569">
        <v>6.0000000000000001E-3</v>
      </c>
      <c r="M14" s="570">
        <v>0.05</v>
      </c>
      <c r="N14" s="1261">
        <v>1</v>
      </c>
      <c r="P14" s="622" t="s">
        <v>64</v>
      </c>
      <c r="Q14" s="585">
        <v>0.05</v>
      </c>
      <c r="R14" s="586">
        <v>0.02</v>
      </c>
      <c r="S14" s="585">
        <v>0.15</v>
      </c>
      <c r="T14" s="586">
        <v>0.06</v>
      </c>
      <c r="U14" s="585">
        <v>0.05</v>
      </c>
      <c r="V14" s="587">
        <v>0.11</v>
      </c>
      <c r="W14" s="588">
        <v>0.05</v>
      </c>
      <c r="X14" s="587">
        <v>0.06</v>
      </c>
      <c r="Y14" s="593">
        <v>0.02</v>
      </c>
      <c r="Z14" s="596">
        <v>0.4</v>
      </c>
    </row>
    <row r="15" spans="1:26" ht="15" customHeight="1" x14ac:dyDescent="0.2">
      <c r="A15" s="622" t="s">
        <v>25</v>
      </c>
      <c r="B15" s="1257">
        <v>0.14000000000000001</v>
      </c>
      <c r="C15" s="1256">
        <v>7.0000000000000007E-2</v>
      </c>
      <c r="D15" s="1252">
        <v>11</v>
      </c>
      <c r="E15" s="1251">
        <v>6</v>
      </c>
      <c r="F15" s="1252">
        <v>20</v>
      </c>
      <c r="G15" s="1253">
        <v>20</v>
      </c>
      <c r="H15" s="1251">
        <v>20</v>
      </c>
      <c r="I15" s="1252">
        <v>31</v>
      </c>
      <c r="J15" s="1251">
        <v>15</v>
      </c>
      <c r="K15" s="568">
        <v>20</v>
      </c>
      <c r="L15" s="569">
        <v>6.0000000000000001E-3</v>
      </c>
      <c r="M15" s="570">
        <v>0.05</v>
      </c>
      <c r="N15" s="1261">
        <v>1</v>
      </c>
      <c r="P15" s="622" t="s">
        <v>62</v>
      </c>
      <c r="Q15" s="587">
        <v>4.4999999999999998E-2</v>
      </c>
      <c r="R15" s="588">
        <v>1.7999999999999999E-2</v>
      </c>
      <c r="S15" s="585">
        <v>0.15</v>
      </c>
      <c r="T15" s="586">
        <v>0.06</v>
      </c>
      <c r="U15" s="587">
        <v>4.4999999999999998E-2</v>
      </c>
      <c r="V15" s="587">
        <v>0.11</v>
      </c>
      <c r="W15" s="588">
        <v>0.05</v>
      </c>
      <c r="X15" s="587">
        <v>0.06</v>
      </c>
      <c r="Y15" s="593">
        <v>0.02</v>
      </c>
      <c r="Z15" s="596">
        <v>0.4</v>
      </c>
    </row>
    <row r="16" spans="1:26" ht="15" customHeight="1" thickBot="1" x14ac:dyDescent="0.25">
      <c r="A16" s="622" t="s">
        <v>26</v>
      </c>
      <c r="B16" s="1257">
        <v>0.105</v>
      </c>
      <c r="C16" s="1256">
        <v>5.1999999999999998E-2</v>
      </c>
      <c r="D16" s="1252">
        <v>12</v>
      </c>
      <c r="E16" s="1251">
        <v>7</v>
      </c>
      <c r="F16" s="1252">
        <v>20</v>
      </c>
      <c r="G16" s="1253">
        <v>20</v>
      </c>
      <c r="H16" s="1251">
        <v>20</v>
      </c>
      <c r="I16" s="1252">
        <v>31</v>
      </c>
      <c r="J16" s="1251">
        <v>15</v>
      </c>
      <c r="K16" s="568">
        <v>20</v>
      </c>
      <c r="L16" s="569">
        <v>6.0000000000000001E-3</v>
      </c>
      <c r="M16" s="570">
        <v>0.05</v>
      </c>
      <c r="N16" s="1261">
        <v>1</v>
      </c>
      <c r="P16" s="623" t="s">
        <v>63</v>
      </c>
      <c r="Q16" s="589">
        <v>0.04</v>
      </c>
      <c r="R16" s="590">
        <v>1.6E-2</v>
      </c>
      <c r="S16" s="589">
        <v>0.15</v>
      </c>
      <c r="T16" s="590">
        <v>0.06</v>
      </c>
      <c r="U16" s="589">
        <v>0.04</v>
      </c>
      <c r="V16" s="591">
        <v>0.11</v>
      </c>
      <c r="W16" s="592">
        <v>0.05</v>
      </c>
      <c r="X16" s="591">
        <v>0.06</v>
      </c>
      <c r="Y16" s="592">
        <v>0.02</v>
      </c>
      <c r="Z16" s="624">
        <v>0.4</v>
      </c>
    </row>
    <row r="17" spans="1:26" ht="15" customHeight="1" thickBot="1" x14ac:dyDescent="0.25">
      <c r="A17" s="622" t="s">
        <v>27</v>
      </c>
      <c r="B17" s="1257">
        <v>0.08</v>
      </c>
      <c r="C17" s="1256">
        <v>0.04</v>
      </c>
      <c r="D17" s="1252">
        <v>12</v>
      </c>
      <c r="E17" s="1251">
        <v>7</v>
      </c>
      <c r="F17" s="1252">
        <v>20</v>
      </c>
      <c r="G17" s="1253">
        <v>20</v>
      </c>
      <c r="H17" s="1251">
        <v>20</v>
      </c>
      <c r="I17" s="1252">
        <v>31</v>
      </c>
      <c r="J17" s="1251">
        <v>15</v>
      </c>
      <c r="K17" s="568">
        <v>20</v>
      </c>
      <c r="L17" s="569">
        <v>6.0000000000000001E-3</v>
      </c>
      <c r="M17" s="570">
        <v>0.05</v>
      </c>
      <c r="N17" s="1261">
        <v>1</v>
      </c>
      <c r="P17" s="632"/>
      <c r="Q17" s="633"/>
      <c r="R17" s="633"/>
      <c r="S17" s="636"/>
      <c r="T17" s="633"/>
      <c r="U17" s="633"/>
      <c r="V17" s="635"/>
      <c r="W17" s="635"/>
      <c r="X17" s="635"/>
      <c r="Y17" s="635"/>
      <c r="Z17" s="634"/>
    </row>
    <row r="18" spans="1:26" ht="15" customHeight="1" thickBot="1" x14ac:dyDescent="0.25">
      <c r="A18" s="623" t="s">
        <v>28</v>
      </c>
      <c r="B18" s="571">
        <v>7.0000000000000007E-2</v>
      </c>
      <c r="C18" s="572">
        <v>3.5000000000000003E-2</v>
      </c>
      <c r="D18" s="573">
        <v>12</v>
      </c>
      <c r="E18" s="574">
        <v>7</v>
      </c>
      <c r="F18" s="573">
        <v>20</v>
      </c>
      <c r="G18" s="575">
        <v>20</v>
      </c>
      <c r="H18" s="574">
        <v>20</v>
      </c>
      <c r="I18" s="573">
        <v>31</v>
      </c>
      <c r="J18" s="574">
        <v>15</v>
      </c>
      <c r="K18" s="576">
        <v>20</v>
      </c>
      <c r="L18" s="1262">
        <v>6.0000000000000001E-3</v>
      </c>
      <c r="M18" s="577">
        <v>0.05</v>
      </c>
      <c r="N18" s="1263">
        <v>1</v>
      </c>
      <c r="P18" s="625" t="s">
        <v>72</v>
      </c>
      <c r="Q18" s="626">
        <v>0.214</v>
      </c>
      <c r="R18" s="627">
        <v>8.5999999999999993E-2</v>
      </c>
      <c r="S18" s="626">
        <v>0.15</v>
      </c>
      <c r="T18" s="627">
        <v>0.06</v>
      </c>
      <c r="U18" s="626">
        <v>0.214</v>
      </c>
      <c r="V18" s="628">
        <v>0.11</v>
      </c>
      <c r="W18" s="629">
        <v>0.05</v>
      </c>
      <c r="X18" s="628">
        <v>0.08</v>
      </c>
      <c r="Y18" s="629">
        <v>0.03</v>
      </c>
      <c r="Z18" s="630">
        <v>0.4</v>
      </c>
    </row>
    <row r="19" spans="1:26" ht="15" customHeight="1" thickBot="1" x14ac:dyDescent="0.25">
      <c r="A19" s="1264"/>
      <c r="B19" s="1265"/>
      <c r="C19" s="1265"/>
      <c r="D19" s="1264"/>
      <c r="E19" s="1264"/>
      <c r="F19" s="1264"/>
      <c r="G19" s="1264"/>
      <c r="H19" s="1264"/>
      <c r="I19" s="1264"/>
      <c r="J19" s="1264"/>
      <c r="K19" s="1264"/>
      <c r="L19" s="1265"/>
      <c r="M19" s="1265"/>
      <c r="N19" s="1264"/>
      <c r="P19" s="567" t="s">
        <v>73</v>
      </c>
      <c r="Q19" s="585">
        <v>0.17</v>
      </c>
      <c r="R19" s="586">
        <v>6.8000000000000005E-2</v>
      </c>
      <c r="S19" s="585">
        <v>0.15</v>
      </c>
      <c r="T19" s="586">
        <v>0.06</v>
      </c>
      <c r="U19" s="585">
        <v>0.17</v>
      </c>
      <c r="V19" s="587">
        <v>0.11</v>
      </c>
      <c r="W19" s="588">
        <v>0.05</v>
      </c>
      <c r="X19" s="587">
        <v>0.08</v>
      </c>
      <c r="Y19" s="588">
        <v>0.03</v>
      </c>
      <c r="Z19" s="596">
        <v>0.4</v>
      </c>
    </row>
    <row r="20" spans="1:26" ht="15" customHeight="1" x14ac:dyDescent="0.2">
      <c r="A20" s="1266" t="s">
        <v>37</v>
      </c>
      <c r="B20" s="1267">
        <v>0.313</v>
      </c>
      <c r="C20" s="1268">
        <v>0.156</v>
      </c>
      <c r="D20" s="625">
        <v>6</v>
      </c>
      <c r="E20" s="1269">
        <v>3</v>
      </c>
      <c r="F20" s="625">
        <v>30</v>
      </c>
      <c r="G20" s="1270">
        <v>30</v>
      </c>
      <c r="H20" s="1269">
        <v>30</v>
      </c>
      <c r="I20" s="625">
        <v>23</v>
      </c>
      <c r="J20" s="1269">
        <v>11</v>
      </c>
      <c r="K20" s="1271">
        <v>50</v>
      </c>
      <c r="L20" s="1272">
        <v>8.9999999999999993E-3</v>
      </c>
      <c r="M20" s="1273">
        <v>0.05</v>
      </c>
      <c r="N20" s="1274">
        <v>1</v>
      </c>
      <c r="P20" s="567" t="s">
        <v>74</v>
      </c>
      <c r="Q20" s="585">
        <v>0.18</v>
      </c>
      <c r="R20" s="586">
        <v>7.1999999999999995E-2</v>
      </c>
      <c r="S20" s="585">
        <v>0.15</v>
      </c>
      <c r="T20" s="586">
        <v>0.06</v>
      </c>
      <c r="U20" s="585">
        <v>0.18</v>
      </c>
      <c r="V20" s="587">
        <v>0.11</v>
      </c>
      <c r="W20" s="588">
        <v>0.05</v>
      </c>
      <c r="X20" s="587">
        <v>0.08</v>
      </c>
      <c r="Y20" s="588">
        <v>0.03</v>
      </c>
      <c r="Z20" s="596">
        <v>0.4</v>
      </c>
    </row>
    <row r="21" spans="1:26" ht="15" customHeight="1" x14ac:dyDescent="0.2">
      <c r="A21" s="622" t="s">
        <v>38</v>
      </c>
      <c r="B21" s="1257">
        <v>0.14000000000000001</v>
      </c>
      <c r="C21" s="1256">
        <v>7.0000000000000007E-2</v>
      </c>
      <c r="D21" s="1252">
        <v>7</v>
      </c>
      <c r="E21" s="1251">
        <v>4</v>
      </c>
      <c r="F21" s="1252">
        <v>30</v>
      </c>
      <c r="G21" s="1253">
        <v>30</v>
      </c>
      <c r="H21" s="1251">
        <v>30</v>
      </c>
      <c r="I21" s="1252">
        <v>23</v>
      </c>
      <c r="J21" s="1251">
        <v>11</v>
      </c>
      <c r="K21" s="568">
        <v>50</v>
      </c>
      <c r="L21" s="569">
        <v>8.9999999999999993E-3</v>
      </c>
      <c r="M21" s="570">
        <v>0.05</v>
      </c>
      <c r="N21" s="1261">
        <v>1</v>
      </c>
      <c r="P21" s="567" t="s">
        <v>75</v>
      </c>
      <c r="Q21" s="585">
        <v>0.154</v>
      </c>
      <c r="R21" s="586">
        <v>6.2E-2</v>
      </c>
      <c r="S21" s="585">
        <v>0.15</v>
      </c>
      <c r="T21" s="586">
        <v>0.06</v>
      </c>
      <c r="U21" s="585">
        <v>0.154</v>
      </c>
      <c r="V21" s="587">
        <v>0.11</v>
      </c>
      <c r="W21" s="588">
        <v>0.05</v>
      </c>
      <c r="X21" s="587">
        <v>0.08</v>
      </c>
      <c r="Y21" s="588">
        <v>0.03</v>
      </c>
      <c r="Z21" s="596">
        <v>0.4</v>
      </c>
    </row>
    <row r="22" spans="1:26" ht="15" customHeight="1" x14ac:dyDescent="0.2">
      <c r="A22" s="622" t="s">
        <v>39</v>
      </c>
      <c r="B22" s="1257">
        <v>0.125</v>
      </c>
      <c r="C22" s="1256">
        <v>6.2E-2</v>
      </c>
      <c r="D22" s="1252">
        <v>7</v>
      </c>
      <c r="E22" s="1251">
        <v>4</v>
      </c>
      <c r="F22" s="1252">
        <v>30</v>
      </c>
      <c r="G22" s="1253">
        <v>30</v>
      </c>
      <c r="H22" s="1251">
        <v>30</v>
      </c>
      <c r="I22" s="1252">
        <v>23</v>
      </c>
      <c r="J22" s="1251">
        <v>11</v>
      </c>
      <c r="K22" s="568">
        <v>50</v>
      </c>
      <c r="L22" s="569">
        <v>8.9999999999999993E-3</v>
      </c>
      <c r="M22" s="570">
        <v>0.05</v>
      </c>
      <c r="N22" s="1261">
        <v>1</v>
      </c>
      <c r="P22" s="567" t="s">
        <v>76</v>
      </c>
      <c r="Q22" s="585">
        <v>0.14199999999999999</v>
      </c>
      <c r="R22" s="586">
        <v>5.7000000000000002E-2</v>
      </c>
      <c r="S22" s="585">
        <v>0.15</v>
      </c>
      <c r="T22" s="586">
        <v>0.06</v>
      </c>
      <c r="U22" s="585">
        <v>0.14199999999999999</v>
      </c>
      <c r="V22" s="587">
        <v>0.11</v>
      </c>
      <c r="W22" s="588">
        <v>0.05</v>
      </c>
      <c r="X22" s="587">
        <v>0.08</v>
      </c>
      <c r="Y22" s="588">
        <v>0.03</v>
      </c>
      <c r="Z22" s="596">
        <v>0.4</v>
      </c>
    </row>
    <row r="23" spans="1:26" ht="15" customHeight="1" x14ac:dyDescent="0.2">
      <c r="A23" s="622" t="s">
        <v>40</v>
      </c>
      <c r="B23" s="1257">
        <v>0.188</v>
      </c>
      <c r="C23" s="1256">
        <v>9.4E-2</v>
      </c>
      <c r="D23" s="1252">
        <v>8</v>
      </c>
      <c r="E23" s="1251">
        <v>4</v>
      </c>
      <c r="F23" s="1252">
        <v>30</v>
      </c>
      <c r="G23" s="1253">
        <v>30</v>
      </c>
      <c r="H23" s="1251">
        <v>30</v>
      </c>
      <c r="I23" s="1252">
        <v>23</v>
      </c>
      <c r="J23" s="1251">
        <v>11</v>
      </c>
      <c r="K23" s="568">
        <v>50</v>
      </c>
      <c r="L23" s="569">
        <v>8.9999999999999993E-3</v>
      </c>
      <c r="M23" s="570">
        <v>0.05</v>
      </c>
      <c r="N23" s="1261">
        <v>1</v>
      </c>
      <c r="P23" s="567" t="s">
        <v>77</v>
      </c>
      <c r="Q23" s="585">
        <v>0.104</v>
      </c>
      <c r="R23" s="586">
        <v>4.2000000000000003E-2</v>
      </c>
      <c r="S23" s="585">
        <v>0.15</v>
      </c>
      <c r="T23" s="586">
        <v>0.06</v>
      </c>
      <c r="U23" s="585">
        <v>0.104</v>
      </c>
      <c r="V23" s="587">
        <v>0.11</v>
      </c>
      <c r="W23" s="588">
        <v>0.05</v>
      </c>
      <c r="X23" s="587">
        <v>0.08</v>
      </c>
      <c r="Y23" s="588">
        <v>0.03</v>
      </c>
      <c r="Z23" s="596">
        <v>0.4</v>
      </c>
    </row>
    <row r="24" spans="1:26" ht="15" customHeight="1" x14ac:dyDescent="0.2">
      <c r="A24" s="622" t="s">
        <v>41</v>
      </c>
      <c r="B24" s="1257">
        <v>0.14000000000000001</v>
      </c>
      <c r="C24" s="1256">
        <v>7.0000000000000007E-2</v>
      </c>
      <c r="D24" s="1252">
        <v>8</v>
      </c>
      <c r="E24" s="1251">
        <v>4</v>
      </c>
      <c r="F24" s="1252">
        <v>30</v>
      </c>
      <c r="G24" s="1253">
        <v>30</v>
      </c>
      <c r="H24" s="1251">
        <v>30</v>
      </c>
      <c r="I24" s="1252">
        <v>23</v>
      </c>
      <c r="J24" s="1251">
        <v>11</v>
      </c>
      <c r="K24" s="568">
        <v>50</v>
      </c>
      <c r="L24" s="569">
        <v>8.9999999999999993E-3</v>
      </c>
      <c r="M24" s="570">
        <v>0.05</v>
      </c>
      <c r="N24" s="1261">
        <v>1</v>
      </c>
      <c r="P24" s="567" t="s">
        <v>78</v>
      </c>
      <c r="Q24" s="585">
        <v>8.5999999999999993E-2</v>
      </c>
      <c r="R24" s="586">
        <v>3.4000000000000002E-2</v>
      </c>
      <c r="S24" s="585">
        <v>0.15</v>
      </c>
      <c r="T24" s="586">
        <v>0.06</v>
      </c>
      <c r="U24" s="585">
        <v>8.5999999999999993E-2</v>
      </c>
      <c r="V24" s="587">
        <v>0.11</v>
      </c>
      <c r="W24" s="588">
        <v>0.05</v>
      </c>
      <c r="X24" s="587">
        <v>0.08</v>
      </c>
      <c r="Y24" s="588">
        <v>0.03</v>
      </c>
      <c r="Z24" s="596">
        <v>0.4</v>
      </c>
    </row>
    <row r="25" spans="1:26" ht="15" customHeight="1" x14ac:dyDescent="0.2">
      <c r="A25" s="622" t="s">
        <v>42</v>
      </c>
      <c r="B25" s="1257">
        <v>0.105</v>
      </c>
      <c r="C25" s="1256">
        <v>5.1999999999999998E-2</v>
      </c>
      <c r="D25" s="1252">
        <v>9</v>
      </c>
      <c r="E25" s="1251">
        <v>5</v>
      </c>
      <c r="F25" s="1252">
        <v>30</v>
      </c>
      <c r="G25" s="1253">
        <v>30</v>
      </c>
      <c r="H25" s="1251">
        <v>30</v>
      </c>
      <c r="I25" s="1252">
        <v>23</v>
      </c>
      <c r="J25" s="1251">
        <v>11</v>
      </c>
      <c r="K25" s="568">
        <v>50</v>
      </c>
      <c r="L25" s="569">
        <v>8.9999999999999993E-3</v>
      </c>
      <c r="M25" s="570">
        <v>0.05</v>
      </c>
      <c r="N25" s="1261">
        <v>1</v>
      </c>
      <c r="P25" s="567" t="s">
        <v>79</v>
      </c>
      <c r="Q25" s="585">
        <v>0.06</v>
      </c>
      <c r="R25" s="586">
        <v>2.4E-2</v>
      </c>
      <c r="S25" s="585">
        <v>0.15</v>
      </c>
      <c r="T25" s="586">
        <v>0.06</v>
      </c>
      <c r="U25" s="585">
        <v>0.06</v>
      </c>
      <c r="V25" s="587">
        <v>0.11</v>
      </c>
      <c r="W25" s="588">
        <v>0.05</v>
      </c>
      <c r="X25" s="587">
        <v>0.08</v>
      </c>
      <c r="Y25" s="588">
        <v>0.03</v>
      </c>
      <c r="Z25" s="596">
        <v>0.4</v>
      </c>
    </row>
    <row r="26" spans="1:26" ht="15" customHeight="1" x14ac:dyDescent="0.2">
      <c r="A26" s="622" t="s">
        <v>43</v>
      </c>
      <c r="B26" s="1257">
        <v>8.5000000000000006E-2</v>
      </c>
      <c r="C26" s="1256">
        <v>4.2000000000000003E-2</v>
      </c>
      <c r="D26" s="1252">
        <v>9</v>
      </c>
      <c r="E26" s="1251">
        <v>5</v>
      </c>
      <c r="F26" s="1252">
        <v>30</v>
      </c>
      <c r="G26" s="1253">
        <v>30</v>
      </c>
      <c r="H26" s="1251">
        <v>30</v>
      </c>
      <c r="I26" s="1252">
        <v>23</v>
      </c>
      <c r="J26" s="1251">
        <v>11</v>
      </c>
      <c r="K26" s="568">
        <v>50</v>
      </c>
      <c r="L26" s="569">
        <v>8.9999999999999993E-3</v>
      </c>
      <c r="M26" s="570">
        <v>0.05</v>
      </c>
      <c r="N26" s="1261">
        <v>1</v>
      </c>
      <c r="P26" s="567" t="s">
        <v>80</v>
      </c>
      <c r="Q26" s="585">
        <v>6.6000000000000003E-2</v>
      </c>
      <c r="R26" s="586">
        <v>2.5999999999999999E-2</v>
      </c>
      <c r="S26" s="585">
        <v>0.15</v>
      </c>
      <c r="T26" s="586">
        <v>0.06</v>
      </c>
      <c r="U26" s="585">
        <v>6.6000000000000003E-2</v>
      </c>
      <c r="V26" s="587">
        <v>0.11</v>
      </c>
      <c r="W26" s="588">
        <v>0.05</v>
      </c>
      <c r="X26" s="587">
        <v>0.08</v>
      </c>
      <c r="Y26" s="588">
        <v>0.03</v>
      </c>
      <c r="Z26" s="596">
        <v>0.4</v>
      </c>
    </row>
    <row r="27" spans="1:26" ht="15" customHeight="1" thickBot="1" x14ac:dyDescent="0.25">
      <c r="A27" s="623" t="s">
        <v>44</v>
      </c>
      <c r="B27" s="571">
        <v>7.2999999999999995E-2</v>
      </c>
      <c r="C27" s="572">
        <v>3.5999999999999997E-2</v>
      </c>
      <c r="D27" s="573">
        <v>9</v>
      </c>
      <c r="E27" s="574">
        <v>5</v>
      </c>
      <c r="F27" s="573">
        <v>30</v>
      </c>
      <c r="G27" s="575">
        <v>30</v>
      </c>
      <c r="H27" s="574">
        <v>30</v>
      </c>
      <c r="I27" s="573">
        <v>23</v>
      </c>
      <c r="J27" s="574">
        <v>11</v>
      </c>
      <c r="K27" s="576">
        <v>50</v>
      </c>
      <c r="L27" s="1262">
        <v>8.9999999999999993E-3</v>
      </c>
      <c r="M27" s="577">
        <v>0.05</v>
      </c>
      <c r="N27" s="1263">
        <v>1</v>
      </c>
      <c r="P27" s="567" t="s">
        <v>81</v>
      </c>
      <c r="Q27" s="585">
        <v>6.2E-2</v>
      </c>
      <c r="R27" s="586">
        <v>2.5000000000000001E-2</v>
      </c>
      <c r="S27" s="585">
        <v>0.15</v>
      </c>
      <c r="T27" s="586">
        <v>0.06</v>
      </c>
      <c r="U27" s="585">
        <v>6.2E-2</v>
      </c>
      <c r="V27" s="587">
        <v>0.11</v>
      </c>
      <c r="W27" s="588">
        <v>0.05</v>
      </c>
      <c r="X27" s="587">
        <v>0.08</v>
      </c>
      <c r="Y27" s="588">
        <v>0.03</v>
      </c>
      <c r="Z27" s="596">
        <v>0.4</v>
      </c>
    </row>
    <row r="28" spans="1:26" ht="15" customHeight="1" thickBot="1" x14ac:dyDescent="0.25">
      <c r="A28" s="1264"/>
      <c r="B28" s="1265"/>
      <c r="C28" s="1265"/>
      <c r="D28" s="1264"/>
      <c r="E28" s="1264"/>
      <c r="F28" s="1264"/>
      <c r="G28" s="1264"/>
      <c r="H28" s="1264"/>
      <c r="I28" s="1264"/>
      <c r="J28" s="1264"/>
      <c r="K28" s="1264"/>
      <c r="L28" s="1265"/>
      <c r="M28" s="1265"/>
      <c r="N28" s="1264"/>
      <c r="P28" s="567" t="s">
        <v>82</v>
      </c>
      <c r="Q28" s="585">
        <v>5.3999999999999999E-2</v>
      </c>
      <c r="R28" s="586">
        <v>2.1999999999999999E-2</v>
      </c>
      <c r="S28" s="585">
        <v>0.15</v>
      </c>
      <c r="T28" s="586">
        <v>0.06</v>
      </c>
      <c r="U28" s="585">
        <v>5.3999999999999999E-2</v>
      </c>
      <c r="V28" s="587">
        <v>0.11</v>
      </c>
      <c r="W28" s="588">
        <v>0.05</v>
      </c>
      <c r="X28" s="587">
        <v>0.08</v>
      </c>
      <c r="Y28" s="588">
        <v>0.03</v>
      </c>
      <c r="Z28" s="596">
        <v>0.4</v>
      </c>
    </row>
    <row r="29" spans="1:26" ht="15" customHeight="1" thickBot="1" x14ac:dyDescent="0.25">
      <c r="A29" s="1282" t="s">
        <v>328</v>
      </c>
      <c r="B29" s="1283">
        <v>6.3E-2</v>
      </c>
      <c r="C29" s="1283">
        <v>3.1E-2</v>
      </c>
      <c r="D29" s="1284"/>
      <c r="E29" s="1284"/>
      <c r="F29" s="1284">
        <v>10</v>
      </c>
      <c r="G29" s="1284">
        <v>10</v>
      </c>
      <c r="H29" s="1284">
        <v>10</v>
      </c>
      <c r="I29" s="1285"/>
      <c r="J29" s="1284"/>
      <c r="K29" s="1284"/>
      <c r="L29" s="1283"/>
      <c r="M29" s="1283"/>
      <c r="N29" s="1286">
        <v>0</v>
      </c>
      <c r="P29" s="567" t="s">
        <v>83</v>
      </c>
      <c r="Q29" s="585">
        <v>0.05</v>
      </c>
      <c r="R29" s="586">
        <v>0.02</v>
      </c>
      <c r="S29" s="585">
        <v>0.15</v>
      </c>
      <c r="T29" s="586">
        <v>0.06</v>
      </c>
      <c r="U29" s="585">
        <v>0.05</v>
      </c>
      <c r="V29" s="587">
        <v>0.11</v>
      </c>
      <c r="W29" s="588">
        <v>0.05</v>
      </c>
      <c r="X29" s="587">
        <v>0.08</v>
      </c>
      <c r="Y29" s="588">
        <v>0.03</v>
      </c>
      <c r="Z29" s="596">
        <v>0.4</v>
      </c>
    </row>
    <row r="30" spans="1:26" ht="15" customHeight="1" thickBot="1" x14ac:dyDescent="0.25">
      <c r="P30" s="567" t="s">
        <v>84</v>
      </c>
      <c r="Q30" s="585">
        <v>4.4999999999999998E-2</v>
      </c>
      <c r="R30" s="586">
        <v>1.7999999999999999E-2</v>
      </c>
      <c r="S30" s="585">
        <v>0.15</v>
      </c>
      <c r="T30" s="586">
        <v>0.06</v>
      </c>
      <c r="U30" s="585">
        <v>4.4999999999999998E-2</v>
      </c>
      <c r="V30" s="587">
        <v>0.11</v>
      </c>
      <c r="W30" s="588">
        <v>0.05</v>
      </c>
      <c r="X30" s="587">
        <v>0.08</v>
      </c>
      <c r="Y30" s="588">
        <v>0.03</v>
      </c>
      <c r="Z30" s="596">
        <v>0.4</v>
      </c>
    </row>
    <row r="31" spans="1:26" ht="15" customHeight="1" thickBot="1" x14ac:dyDescent="0.25">
      <c r="A31" s="1275" t="s">
        <v>324</v>
      </c>
      <c r="B31" s="1276" t="s">
        <v>339</v>
      </c>
      <c r="C31" s="1276" t="s">
        <v>340</v>
      </c>
      <c r="D31" s="1277" t="s">
        <v>341</v>
      </c>
      <c r="E31" s="1277" t="s">
        <v>342</v>
      </c>
      <c r="F31" s="1277" t="s">
        <v>2</v>
      </c>
      <c r="G31" s="1277" t="s">
        <v>3</v>
      </c>
      <c r="H31" s="1277" t="s">
        <v>4</v>
      </c>
      <c r="I31" s="1277" t="s">
        <v>345</v>
      </c>
      <c r="J31" s="1277" t="s">
        <v>346</v>
      </c>
      <c r="K31" s="1277" t="s">
        <v>349</v>
      </c>
      <c r="L31" s="1276" t="s">
        <v>350</v>
      </c>
      <c r="M31" s="1276" t="s">
        <v>351</v>
      </c>
      <c r="N31" s="1278" t="s">
        <v>133</v>
      </c>
      <c r="O31" s="17"/>
      <c r="P31" s="573" t="s">
        <v>85</v>
      </c>
      <c r="Q31" s="589">
        <v>0.04</v>
      </c>
      <c r="R31" s="590">
        <v>1.6E-2</v>
      </c>
      <c r="S31" s="589">
        <v>0.15</v>
      </c>
      <c r="T31" s="590">
        <v>0.06</v>
      </c>
      <c r="U31" s="589">
        <v>0.04</v>
      </c>
      <c r="V31" s="591">
        <v>0.11</v>
      </c>
      <c r="W31" s="592">
        <v>0.05</v>
      </c>
      <c r="X31" s="591">
        <v>0.08</v>
      </c>
      <c r="Y31" s="592">
        <v>0.03</v>
      </c>
      <c r="Z31" s="624">
        <v>0.4</v>
      </c>
    </row>
    <row r="32" spans="1:26" ht="15" customHeight="1" thickBot="1" x14ac:dyDescent="0.25">
      <c r="A32" s="1252" t="s">
        <v>9</v>
      </c>
      <c r="B32" s="1254">
        <v>0.34499999999999997</v>
      </c>
      <c r="C32" s="1254">
        <v>0.17199999999999999</v>
      </c>
      <c r="D32" s="1253">
        <v>7</v>
      </c>
      <c r="E32" s="1253">
        <v>4</v>
      </c>
      <c r="F32" s="1253">
        <v>25</v>
      </c>
      <c r="G32" s="1253">
        <v>25</v>
      </c>
      <c r="H32" s="1253">
        <v>25</v>
      </c>
      <c r="I32" s="1253">
        <v>28</v>
      </c>
      <c r="J32" s="1253">
        <v>14</v>
      </c>
      <c r="K32" s="1253">
        <v>25</v>
      </c>
      <c r="L32" s="1254">
        <v>8.0000000000000002E-3</v>
      </c>
      <c r="M32" s="1254">
        <v>0.05</v>
      </c>
      <c r="N32" s="1251">
        <v>3</v>
      </c>
      <c r="O32" s="17"/>
      <c r="P32" s="637"/>
      <c r="Q32" s="633"/>
      <c r="R32" s="633"/>
      <c r="S32" s="636"/>
      <c r="T32" s="633"/>
      <c r="U32" s="633"/>
      <c r="V32" s="635"/>
      <c r="W32" s="635"/>
      <c r="X32" s="635"/>
      <c r="Y32" s="635"/>
      <c r="Z32" s="634"/>
    </row>
    <row r="33" spans="1:26" ht="15" customHeight="1" x14ac:dyDescent="0.2">
      <c r="A33" s="1252" t="s">
        <v>13</v>
      </c>
      <c r="B33" s="1254">
        <v>0.20699999999999999</v>
      </c>
      <c r="C33" s="1254">
        <v>0.10299999999999999</v>
      </c>
      <c r="D33" s="1253">
        <v>8</v>
      </c>
      <c r="E33" s="1253">
        <v>4</v>
      </c>
      <c r="F33" s="1253">
        <v>25</v>
      </c>
      <c r="G33" s="1253">
        <v>25</v>
      </c>
      <c r="H33" s="1253">
        <v>25</v>
      </c>
      <c r="I33" s="1253">
        <v>28</v>
      </c>
      <c r="J33" s="1253">
        <v>14</v>
      </c>
      <c r="K33" s="1253">
        <v>25</v>
      </c>
      <c r="L33" s="1254">
        <v>8.0000000000000002E-3</v>
      </c>
      <c r="M33" s="1254">
        <v>0.05</v>
      </c>
      <c r="N33" s="1251">
        <v>3</v>
      </c>
      <c r="O33" s="17"/>
      <c r="P33" s="625" t="s">
        <v>173</v>
      </c>
      <c r="Q33" s="626">
        <v>0.14199999999999999</v>
      </c>
      <c r="R33" s="627">
        <v>5.7000000000000002E-2</v>
      </c>
      <c r="S33" s="626">
        <v>0.18</v>
      </c>
      <c r="T33" s="627">
        <v>7.0000000000000007E-2</v>
      </c>
      <c r="U33" s="626">
        <v>0.14199999999999999</v>
      </c>
      <c r="V33" s="628">
        <v>0.09</v>
      </c>
      <c r="W33" s="629">
        <v>0.04</v>
      </c>
      <c r="X33" s="628">
        <v>0.05</v>
      </c>
      <c r="Y33" s="629">
        <v>0.02</v>
      </c>
      <c r="Z33" s="630">
        <v>0.4</v>
      </c>
    </row>
    <row r="34" spans="1:26" ht="15" customHeight="1" x14ac:dyDescent="0.2">
      <c r="A34" s="1252" t="s">
        <v>14</v>
      </c>
      <c r="B34" s="1254">
        <v>0.20699999999999999</v>
      </c>
      <c r="C34" s="1254">
        <v>0.10299999999999999</v>
      </c>
      <c r="D34" s="1253">
        <v>8</v>
      </c>
      <c r="E34" s="1253">
        <v>4</v>
      </c>
      <c r="F34" s="1253">
        <v>25</v>
      </c>
      <c r="G34" s="1253">
        <v>25</v>
      </c>
      <c r="H34" s="1253">
        <v>25</v>
      </c>
      <c r="I34" s="1253">
        <v>28</v>
      </c>
      <c r="J34" s="1253">
        <v>14</v>
      </c>
      <c r="K34" s="1253">
        <v>25</v>
      </c>
      <c r="L34" s="1254">
        <v>8.0000000000000002E-3</v>
      </c>
      <c r="M34" s="1254">
        <v>0.05</v>
      </c>
      <c r="N34" s="1251">
        <v>3</v>
      </c>
      <c r="O34" s="17"/>
      <c r="P34" s="567" t="s">
        <v>172</v>
      </c>
      <c r="Q34" s="585">
        <v>0.158</v>
      </c>
      <c r="R34" s="586">
        <v>6.3E-2</v>
      </c>
      <c r="S34" s="585">
        <v>0.18</v>
      </c>
      <c r="T34" s="586">
        <v>7.0000000000000007E-2</v>
      </c>
      <c r="U34" s="585">
        <v>0.158</v>
      </c>
      <c r="V34" s="587">
        <v>0.09</v>
      </c>
      <c r="W34" s="588">
        <v>0.04</v>
      </c>
      <c r="X34" s="587">
        <v>0.05</v>
      </c>
      <c r="Y34" s="588">
        <v>0.02</v>
      </c>
      <c r="Z34" s="596">
        <v>0.4</v>
      </c>
    </row>
    <row r="35" spans="1:26" ht="15" customHeight="1" x14ac:dyDescent="0.2">
      <c r="A35" s="1252" t="s">
        <v>15</v>
      </c>
      <c r="B35" s="1254">
        <v>0.20699999999999999</v>
      </c>
      <c r="C35" s="1254">
        <v>0.10299999999999999</v>
      </c>
      <c r="D35" s="1253">
        <v>9</v>
      </c>
      <c r="E35" s="1253">
        <v>5</v>
      </c>
      <c r="F35" s="1253">
        <v>25</v>
      </c>
      <c r="G35" s="1253">
        <v>25</v>
      </c>
      <c r="H35" s="1253">
        <v>25</v>
      </c>
      <c r="I35" s="1253">
        <v>28</v>
      </c>
      <c r="J35" s="1253">
        <v>14</v>
      </c>
      <c r="K35" s="1253">
        <v>25</v>
      </c>
      <c r="L35" s="1254">
        <v>8.0000000000000002E-3</v>
      </c>
      <c r="M35" s="1254">
        <v>0.05</v>
      </c>
      <c r="N35" s="1251">
        <v>3</v>
      </c>
      <c r="O35" s="17"/>
      <c r="P35" s="567" t="s">
        <v>174</v>
      </c>
      <c r="Q35" s="585">
        <v>8.8999999999999996E-2</v>
      </c>
      <c r="R35" s="586">
        <v>3.5999999999999997E-2</v>
      </c>
      <c r="S35" s="585">
        <v>0.18</v>
      </c>
      <c r="T35" s="586">
        <v>7.0000000000000007E-2</v>
      </c>
      <c r="U35" s="585">
        <v>8.8999999999999996E-2</v>
      </c>
      <c r="V35" s="587">
        <v>0.09</v>
      </c>
      <c r="W35" s="588">
        <v>0.04</v>
      </c>
      <c r="X35" s="587">
        <v>0.05</v>
      </c>
      <c r="Y35" s="588">
        <v>0.02</v>
      </c>
      <c r="Z35" s="596">
        <v>0.4</v>
      </c>
    </row>
    <row r="36" spans="1:26" ht="15" customHeight="1" x14ac:dyDescent="0.2">
      <c r="A36" s="1252" t="s">
        <v>16</v>
      </c>
      <c r="B36" s="1254">
        <v>0.154</v>
      </c>
      <c r="C36" s="1254">
        <v>7.6999999999999999E-2</v>
      </c>
      <c r="D36" s="1253">
        <v>9</v>
      </c>
      <c r="E36" s="1253">
        <v>5</v>
      </c>
      <c r="F36" s="1253">
        <v>25</v>
      </c>
      <c r="G36" s="1253">
        <v>25</v>
      </c>
      <c r="H36" s="1253">
        <v>25</v>
      </c>
      <c r="I36" s="1253">
        <v>28</v>
      </c>
      <c r="J36" s="1253">
        <v>14</v>
      </c>
      <c r="K36" s="1253">
        <v>25</v>
      </c>
      <c r="L36" s="1254">
        <v>8.0000000000000002E-3</v>
      </c>
      <c r="M36" s="1254">
        <v>0.05</v>
      </c>
      <c r="N36" s="1251">
        <v>3</v>
      </c>
      <c r="O36" s="17"/>
      <c r="P36" s="567" t="s">
        <v>175</v>
      </c>
      <c r="Q36" s="585">
        <v>6.2E-2</v>
      </c>
      <c r="R36" s="586">
        <v>2.5000000000000001E-2</v>
      </c>
      <c r="S36" s="585">
        <v>0.18</v>
      </c>
      <c r="T36" s="586">
        <v>7.0000000000000007E-2</v>
      </c>
      <c r="U36" s="585">
        <v>6.2E-2</v>
      </c>
      <c r="V36" s="587">
        <v>0.09</v>
      </c>
      <c r="W36" s="588">
        <v>0.04</v>
      </c>
      <c r="X36" s="587">
        <v>0.05</v>
      </c>
      <c r="Y36" s="588">
        <v>0.02</v>
      </c>
      <c r="Z36" s="596">
        <v>0.4</v>
      </c>
    </row>
    <row r="37" spans="1:26" ht="15" customHeight="1" x14ac:dyDescent="0.2">
      <c r="A37" s="1252" t="s">
        <v>17</v>
      </c>
      <c r="B37" s="1254">
        <v>0.11600000000000001</v>
      </c>
      <c r="C37" s="1254">
        <v>5.8000000000000003E-2</v>
      </c>
      <c r="D37" s="1253">
        <v>10</v>
      </c>
      <c r="E37" s="1253">
        <v>5</v>
      </c>
      <c r="F37" s="1253">
        <v>25</v>
      </c>
      <c r="G37" s="1253">
        <v>25</v>
      </c>
      <c r="H37" s="1253">
        <v>25</v>
      </c>
      <c r="I37" s="1253">
        <v>28</v>
      </c>
      <c r="J37" s="1253">
        <v>14</v>
      </c>
      <c r="K37" s="1253">
        <v>25</v>
      </c>
      <c r="L37" s="1254">
        <v>8.0000000000000002E-3</v>
      </c>
      <c r="M37" s="1254">
        <v>0.05</v>
      </c>
      <c r="N37" s="1251">
        <v>3</v>
      </c>
      <c r="O37" s="17"/>
      <c r="P37" s="567" t="s">
        <v>176</v>
      </c>
      <c r="Q37" s="585">
        <v>0.1</v>
      </c>
      <c r="R37" s="586">
        <v>4.3999999999999997E-2</v>
      </c>
      <c r="S37" s="585">
        <v>0.18</v>
      </c>
      <c r="T37" s="586">
        <v>7.0000000000000007E-2</v>
      </c>
      <c r="U37" s="585">
        <v>0.1</v>
      </c>
      <c r="V37" s="587">
        <v>0.09</v>
      </c>
      <c r="W37" s="588">
        <v>0.04</v>
      </c>
      <c r="X37" s="587">
        <v>0.05</v>
      </c>
      <c r="Y37" s="588">
        <v>0.02</v>
      </c>
      <c r="Z37" s="596">
        <v>0.4</v>
      </c>
    </row>
    <row r="38" spans="1:26" ht="15" customHeight="1" x14ac:dyDescent="0.2">
      <c r="A38" s="1252" t="s">
        <v>18</v>
      </c>
      <c r="B38" s="1254">
        <v>8.8099999999999998E-2</v>
      </c>
      <c r="C38" s="1254">
        <v>4.3999999999999997E-2</v>
      </c>
      <c r="D38" s="1253">
        <v>10</v>
      </c>
      <c r="E38" s="1253">
        <v>5</v>
      </c>
      <c r="F38" s="1253">
        <v>25</v>
      </c>
      <c r="G38" s="1253">
        <v>25</v>
      </c>
      <c r="H38" s="1253">
        <v>25</v>
      </c>
      <c r="I38" s="1253">
        <v>28</v>
      </c>
      <c r="J38" s="1253">
        <v>14</v>
      </c>
      <c r="K38" s="1253">
        <v>25</v>
      </c>
      <c r="L38" s="1254">
        <v>8.0000000000000002E-3</v>
      </c>
      <c r="M38" s="1254">
        <v>0.05</v>
      </c>
      <c r="N38" s="1251">
        <v>3</v>
      </c>
      <c r="O38" s="17"/>
      <c r="P38" s="567" t="s">
        <v>177</v>
      </c>
      <c r="Q38" s="585">
        <v>9.7000000000000003E-2</v>
      </c>
      <c r="R38" s="586">
        <v>3.9E-2</v>
      </c>
      <c r="S38" s="585">
        <v>0.18</v>
      </c>
      <c r="T38" s="586">
        <v>7.0000000000000007E-2</v>
      </c>
      <c r="U38" s="585">
        <v>9.7000000000000003E-2</v>
      </c>
      <c r="V38" s="587">
        <v>0.09</v>
      </c>
      <c r="W38" s="588">
        <v>0.04</v>
      </c>
      <c r="X38" s="587">
        <v>0.05</v>
      </c>
      <c r="Y38" s="588">
        <v>0.02</v>
      </c>
      <c r="Z38" s="596">
        <v>0.4</v>
      </c>
    </row>
    <row r="39" spans="1:26" ht="15" customHeight="1" thickBot="1" x14ac:dyDescent="0.25">
      <c r="A39" s="573" t="s">
        <v>19</v>
      </c>
      <c r="B39" s="1279">
        <v>0.08</v>
      </c>
      <c r="C39" s="1279">
        <v>0.04</v>
      </c>
      <c r="D39" s="575">
        <v>10</v>
      </c>
      <c r="E39" s="575">
        <v>5</v>
      </c>
      <c r="F39" s="575">
        <v>25</v>
      </c>
      <c r="G39" s="575">
        <v>25</v>
      </c>
      <c r="H39" s="575">
        <v>25</v>
      </c>
      <c r="I39" s="575">
        <v>28</v>
      </c>
      <c r="J39" s="575">
        <v>14</v>
      </c>
      <c r="K39" s="575">
        <v>25</v>
      </c>
      <c r="L39" s="1279">
        <v>8.0000000000000002E-3</v>
      </c>
      <c r="M39" s="1279">
        <v>0.05</v>
      </c>
      <c r="N39" s="574">
        <v>3</v>
      </c>
      <c r="O39" s="17"/>
      <c r="P39" s="567" t="s">
        <v>178</v>
      </c>
      <c r="Q39" s="585">
        <v>7.6999999999999999E-2</v>
      </c>
      <c r="R39" s="586">
        <v>3.1E-2</v>
      </c>
      <c r="S39" s="585">
        <v>0.18</v>
      </c>
      <c r="T39" s="586">
        <v>7.0000000000000007E-2</v>
      </c>
      <c r="U39" s="585">
        <v>7.6999999999999999E-2</v>
      </c>
      <c r="V39" s="587">
        <v>0.09</v>
      </c>
      <c r="W39" s="588">
        <v>0.04</v>
      </c>
      <c r="X39" s="587">
        <v>0.05</v>
      </c>
      <c r="Y39" s="588">
        <v>0.02</v>
      </c>
      <c r="Z39" s="596">
        <v>0.4</v>
      </c>
    </row>
    <row r="40" spans="1:26" ht="15" customHeight="1" thickBot="1" x14ac:dyDescent="0.25">
      <c r="A40" s="1264"/>
      <c r="B40" s="1265"/>
      <c r="C40" s="1265"/>
      <c r="D40" s="1264"/>
      <c r="E40" s="1264"/>
      <c r="F40" s="1264"/>
      <c r="G40" s="1264"/>
      <c r="H40" s="1264"/>
      <c r="I40" s="1264"/>
      <c r="J40" s="1264"/>
      <c r="K40" s="1264"/>
      <c r="L40" s="1264"/>
      <c r="M40" s="1265"/>
      <c r="N40" s="1264"/>
      <c r="O40" s="17"/>
      <c r="P40" s="567" t="s">
        <v>179</v>
      </c>
      <c r="Q40" s="585">
        <v>6.8000000000000005E-2</v>
      </c>
      <c r="R40" s="586">
        <v>2.7E-2</v>
      </c>
      <c r="S40" s="585">
        <v>0.18</v>
      </c>
      <c r="T40" s="586">
        <v>7.0000000000000007E-2</v>
      </c>
      <c r="U40" s="585">
        <v>6.8000000000000005E-2</v>
      </c>
      <c r="V40" s="587">
        <v>0.09</v>
      </c>
      <c r="W40" s="588">
        <v>0.04</v>
      </c>
      <c r="X40" s="587">
        <v>0.05</v>
      </c>
      <c r="Y40" s="588">
        <v>0.02</v>
      </c>
      <c r="Z40" s="596">
        <v>0.4</v>
      </c>
    </row>
    <row r="41" spans="1:26" ht="15" customHeight="1" x14ac:dyDescent="0.2">
      <c r="A41" s="625" t="s">
        <v>21</v>
      </c>
      <c r="B41" s="1280">
        <v>0.46300000000000002</v>
      </c>
      <c r="C41" s="1280">
        <v>0.23100000000000001</v>
      </c>
      <c r="D41" s="1270">
        <v>9</v>
      </c>
      <c r="E41" s="1270">
        <v>5</v>
      </c>
      <c r="F41" s="1270">
        <v>20</v>
      </c>
      <c r="G41" s="1270">
        <v>20</v>
      </c>
      <c r="H41" s="1270">
        <v>20</v>
      </c>
      <c r="I41" s="1270">
        <v>31</v>
      </c>
      <c r="J41" s="1270">
        <v>15</v>
      </c>
      <c r="K41" s="1270">
        <v>20</v>
      </c>
      <c r="L41" s="1280">
        <v>6.0000000000000001E-3</v>
      </c>
      <c r="M41" s="1280">
        <v>0.05</v>
      </c>
      <c r="N41" s="1269">
        <v>3</v>
      </c>
      <c r="O41" s="17"/>
      <c r="P41" s="567" t="s">
        <v>180</v>
      </c>
      <c r="Q41" s="585">
        <v>6.8000000000000005E-2</v>
      </c>
      <c r="R41" s="586">
        <v>2.7E-2</v>
      </c>
      <c r="S41" s="585">
        <v>0.18</v>
      </c>
      <c r="T41" s="586">
        <v>7.0000000000000007E-2</v>
      </c>
      <c r="U41" s="585">
        <v>6.8000000000000005E-2</v>
      </c>
      <c r="V41" s="587">
        <v>0.09</v>
      </c>
      <c r="W41" s="588">
        <v>0.04</v>
      </c>
      <c r="X41" s="587">
        <v>0.05</v>
      </c>
      <c r="Y41" s="588">
        <v>0.02</v>
      </c>
      <c r="Z41" s="596">
        <v>0.4</v>
      </c>
    </row>
    <row r="42" spans="1:26" ht="15" customHeight="1" x14ac:dyDescent="0.2">
      <c r="A42" s="1252" t="s">
        <v>22</v>
      </c>
      <c r="B42" s="1254">
        <v>0.27500000000000002</v>
      </c>
      <c r="C42" s="1254">
        <v>0.13700000000000001</v>
      </c>
      <c r="D42" s="1253">
        <v>10</v>
      </c>
      <c r="E42" s="1253">
        <v>5</v>
      </c>
      <c r="F42" s="1253">
        <v>20</v>
      </c>
      <c r="G42" s="1253">
        <v>20</v>
      </c>
      <c r="H42" s="1253">
        <v>20</v>
      </c>
      <c r="I42" s="1253">
        <v>31</v>
      </c>
      <c r="J42" s="1253">
        <v>15</v>
      </c>
      <c r="K42" s="1253">
        <v>20</v>
      </c>
      <c r="L42" s="1254">
        <v>6.0000000000000001E-3</v>
      </c>
      <c r="M42" s="1254">
        <v>0.05</v>
      </c>
      <c r="N42" s="1251">
        <v>3</v>
      </c>
      <c r="O42" s="17"/>
      <c r="P42" s="567" t="s">
        <v>181</v>
      </c>
      <c r="Q42" s="585">
        <v>6.2E-2</v>
      </c>
      <c r="R42" s="586">
        <v>2.5000000000000001E-2</v>
      </c>
      <c r="S42" s="585">
        <v>0.18</v>
      </c>
      <c r="T42" s="586">
        <v>7.0000000000000007E-2</v>
      </c>
      <c r="U42" s="585">
        <v>6.2E-2</v>
      </c>
      <c r="V42" s="587">
        <v>0.09</v>
      </c>
      <c r="W42" s="588">
        <v>0.04</v>
      </c>
      <c r="X42" s="587">
        <v>0.05</v>
      </c>
      <c r="Y42" s="588">
        <v>0.02</v>
      </c>
      <c r="Z42" s="596">
        <v>0.4</v>
      </c>
    </row>
    <row r="43" spans="1:26" ht="15" customHeight="1" x14ac:dyDescent="0.2">
      <c r="A43" s="1252" t="s">
        <v>23</v>
      </c>
      <c r="B43" s="1254">
        <v>0.21299999999999999</v>
      </c>
      <c r="C43" s="1254">
        <v>0.106</v>
      </c>
      <c r="D43" s="1253">
        <v>10</v>
      </c>
      <c r="E43" s="1253">
        <v>5</v>
      </c>
      <c r="F43" s="1253">
        <v>20</v>
      </c>
      <c r="G43" s="1253">
        <v>20</v>
      </c>
      <c r="H43" s="1253">
        <v>20</v>
      </c>
      <c r="I43" s="1253">
        <v>31</v>
      </c>
      <c r="J43" s="1253">
        <v>15</v>
      </c>
      <c r="K43" s="1253">
        <v>20</v>
      </c>
      <c r="L43" s="1254">
        <v>6.0000000000000001E-3</v>
      </c>
      <c r="M43" s="1254">
        <v>0.05</v>
      </c>
      <c r="N43" s="1251">
        <v>3</v>
      </c>
      <c r="O43" s="17"/>
      <c r="P43" s="567" t="s">
        <v>317</v>
      </c>
      <c r="Q43" s="585">
        <v>5.6000000000000001E-2</v>
      </c>
      <c r="R43" s="586">
        <v>2.1999999999999999E-2</v>
      </c>
      <c r="S43" s="585">
        <v>0.18</v>
      </c>
      <c r="T43" s="586">
        <v>7.0000000000000007E-2</v>
      </c>
      <c r="U43" s="585">
        <v>5.6000000000000001E-2</v>
      </c>
      <c r="V43" s="587">
        <v>0.09</v>
      </c>
      <c r="W43" s="588">
        <v>0.04</v>
      </c>
      <c r="X43" s="587">
        <v>0.05</v>
      </c>
      <c r="Y43" s="588">
        <v>0.02</v>
      </c>
      <c r="Z43" s="596">
        <v>0.4</v>
      </c>
    </row>
    <row r="44" spans="1:26" ht="15" customHeight="1" x14ac:dyDescent="0.2">
      <c r="A44" s="1252" t="s">
        <v>24</v>
      </c>
      <c r="B44" s="1254">
        <v>0.17499999999999999</v>
      </c>
      <c r="C44" s="1254">
        <v>8.6999999999999994E-2</v>
      </c>
      <c r="D44" s="1253">
        <v>11</v>
      </c>
      <c r="E44" s="1253">
        <v>6</v>
      </c>
      <c r="F44" s="1253">
        <v>20</v>
      </c>
      <c r="G44" s="1253">
        <v>20</v>
      </c>
      <c r="H44" s="1253">
        <v>20</v>
      </c>
      <c r="I44" s="1253">
        <v>31</v>
      </c>
      <c r="J44" s="1253">
        <v>15</v>
      </c>
      <c r="K44" s="1253">
        <v>20</v>
      </c>
      <c r="L44" s="1254">
        <v>6.0000000000000001E-3</v>
      </c>
      <c r="M44" s="1254">
        <v>0.05</v>
      </c>
      <c r="N44" s="1251">
        <v>3</v>
      </c>
      <c r="O44" s="17"/>
      <c r="P44" s="567" t="s">
        <v>318</v>
      </c>
      <c r="Q44" s="585">
        <v>5.3999999999999999E-2</v>
      </c>
      <c r="R44" s="586">
        <v>0.02</v>
      </c>
      <c r="S44" s="585">
        <v>0.18</v>
      </c>
      <c r="T44" s="586">
        <v>7.0000000000000007E-2</v>
      </c>
      <c r="U44" s="585">
        <v>5.3999999999999999E-2</v>
      </c>
      <c r="V44" s="587">
        <v>0.09</v>
      </c>
      <c r="W44" s="588">
        <v>0.04</v>
      </c>
      <c r="X44" s="587">
        <v>0.05</v>
      </c>
      <c r="Y44" s="588">
        <v>0.02</v>
      </c>
      <c r="Z44" s="596">
        <v>0.4</v>
      </c>
    </row>
    <row r="45" spans="1:26" ht="15" customHeight="1" thickBot="1" x14ac:dyDescent="0.25">
      <c r="A45" s="1252" t="s">
        <v>25</v>
      </c>
      <c r="B45" s="1254">
        <v>0.14000000000000001</v>
      </c>
      <c r="C45" s="1254">
        <v>7.0000000000000007E-2</v>
      </c>
      <c r="D45" s="1253">
        <v>11</v>
      </c>
      <c r="E45" s="1253">
        <v>6</v>
      </c>
      <c r="F45" s="1253">
        <v>20</v>
      </c>
      <c r="G45" s="1253">
        <v>20</v>
      </c>
      <c r="H45" s="1253">
        <v>20</v>
      </c>
      <c r="I45" s="1253">
        <v>31</v>
      </c>
      <c r="J45" s="1253">
        <v>15</v>
      </c>
      <c r="K45" s="1253">
        <v>20</v>
      </c>
      <c r="L45" s="1254">
        <v>6.0000000000000001E-3</v>
      </c>
      <c r="M45" s="1254">
        <v>0.05</v>
      </c>
      <c r="N45" s="1251">
        <v>3</v>
      </c>
      <c r="O45" s="17"/>
      <c r="P45" s="573" t="s">
        <v>182</v>
      </c>
      <c r="Q45" s="589">
        <v>4.9000000000000002E-2</v>
      </c>
      <c r="R45" s="590">
        <v>0.02</v>
      </c>
      <c r="S45" s="589">
        <v>0.18</v>
      </c>
      <c r="T45" s="590">
        <v>7.0000000000000007E-2</v>
      </c>
      <c r="U45" s="589">
        <v>4.9000000000000002E-2</v>
      </c>
      <c r="V45" s="591">
        <v>0.09</v>
      </c>
      <c r="W45" s="592">
        <v>0.04</v>
      </c>
      <c r="X45" s="591">
        <v>0.05</v>
      </c>
      <c r="Y45" s="592">
        <v>0.02</v>
      </c>
      <c r="Z45" s="624">
        <v>0.4</v>
      </c>
    </row>
    <row r="46" spans="1:26" ht="15" customHeight="1" thickBot="1" x14ac:dyDescent="0.25">
      <c r="A46" s="1252" t="s">
        <v>26</v>
      </c>
      <c r="B46" s="1254">
        <v>0.105</v>
      </c>
      <c r="C46" s="1254">
        <v>5.1999999999999998E-2</v>
      </c>
      <c r="D46" s="1253">
        <v>12</v>
      </c>
      <c r="E46" s="1253">
        <v>7</v>
      </c>
      <c r="F46" s="1253">
        <v>20</v>
      </c>
      <c r="G46" s="1253">
        <v>20</v>
      </c>
      <c r="H46" s="1253">
        <v>20</v>
      </c>
      <c r="I46" s="1253">
        <v>31</v>
      </c>
      <c r="J46" s="1253">
        <v>15</v>
      </c>
      <c r="K46" s="1253">
        <v>20</v>
      </c>
      <c r="L46" s="1254">
        <v>6.0000000000000001E-3</v>
      </c>
      <c r="M46" s="1254">
        <v>0.05</v>
      </c>
      <c r="N46" s="1251">
        <v>3</v>
      </c>
      <c r="O46" s="17"/>
      <c r="P46" s="632"/>
      <c r="Q46" s="633"/>
      <c r="R46" s="633"/>
      <c r="S46" s="633"/>
      <c r="T46" s="633"/>
      <c r="U46" s="633"/>
      <c r="V46" s="635"/>
      <c r="W46" s="635"/>
      <c r="X46" s="635"/>
      <c r="Y46" s="635"/>
      <c r="Z46" s="634"/>
    </row>
    <row r="47" spans="1:26" ht="15" customHeight="1" x14ac:dyDescent="0.2">
      <c r="A47" s="1252" t="s">
        <v>27</v>
      </c>
      <c r="B47" s="1254">
        <v>0.08</v>
      </c>
      <c r="C47" s="1254">
        <v>0.04</v>
      </c>
      <c r="D47" s="1253">
        <v>12</v>
      </c>
      <c r="E47" s="1253">
        <v>7</v>
      </c>
      <c r="F47" s="1253">
        <v>20</v>
      </c>
      <c r="G47" s="1253">
        <v>20</v>
      </c>
      <c r="H47" s="1253">
        <v>20</v>
      </c>
      <c r="I47" s="1253">
        <v>31</v>
      </c>
      <c r="J47" s="1253">
        <v>15</v>
      </c>
      <c r="K47" s="1253">
        <v>20</v>
      </c>
      <c r="L47" s="1254">
        <v>6.0000000000000001E-3</v>
      </c>
      <c r="M47" s="1254">
        <v>0.05</v>
      </c>
      <c r="N47" s="1251">
        <v>3</v>
      </c>
      <c r="O47" s="17"/>
      <c r="P47" s="625" t="s">
        <v>184</v>
      </c>
      <c r="Q47" s="626">
        <v>0.14699999999999999</v>
      </c>
      <c r="R47" s="627">
        <v>5.8999999999999997E-2</v>
      </c>
      <c r="S47" s="626">
        <v>0.15</v>
      </c>
      <c r="T47" s="627">
        <v>0.06</v>
      </c>
      <c r="U47" s="626">
        <v>0.14699999999999999</v>
      </c>
      <c r="V47" s="628">
        <v>0.1</v>
      </c>
      <c r="W47" s="629">
        <v>0.05</v>
      </c>
      <c r="X47" s="628">
        <v>4.4999999999999998E-2</v>
      </c>
      <c r="Y47" s="629">
        <v>0.02</v>
      </c>
      <c r="Z47" s="630">
        <v>0.4</v>
      </c>
    </row>
    <row r="48" spans="1:26" ht="15" customHeight="1" thickBot="1" x14ac:dyDescent="0.25">
      <c r="A48" s="573" t="s">
        <v>28</v>
      </c>
      <c r="B48" s="1279">
        <v>7.0000000000000007E-2</v>
      </c>
      <c r="C48" s="1279">
        <v>3.5000000000000003E-2</v>
      </c>
      <c r="D48" s="575">
        <v>12</v>
      </c>
      <c r="E48" s="575">
        <v>7</v>
      </c>
      <c r="F48" s="575">
        <v>20</v>
      </c>
      <c r="G48" s="575">
        <v>20</v>
      </c>
      <c r="H48" s="575">
        <v>20</v>
      </c>
      <c r="I48" s="575">
        <v>31</v>
      </c>
      <c r="J48" s="575">
        <v>15</v>
      </c>
      <c r="K48" s="575">
        <v>20</v>
      </c>
      <c r="L48" s="1279">
        <v>6.0000000000000001E-3</v>
      </c>
      <c r="M48" s="1279">
        <v>0.05</v>
      </c>
      <c r="N48" s="574">
        <v>3</v>
      </c>
      <c r="O48" s="17"/>
      <c r="P48" s="567" t="s">
        <v>185</v>
      </c>
      <c r="Q48" s="585">
        <v>0.156</v>
      </c>
      <c r="R48" s="586">
        <v>6.2E-2</v>
      </c>
      <c r="S48" s="585">
        <v>0.15</v>
      </c>
      <c r="T48" s="586">
        <v>0.06</v>
      </c>
      <c r="U48" s="585">
        <v>0.156</v>
      </c>
      <c r="V48" s="587">
        <v>0.1</v>
      </c>
      <c r="W48" s="588">
        <v>0.05</v>
      </c>
      <c r="X48" s="587">
        <v>4.4999999999999998E-2</v>
      </c>
      <c r="Y48" s="588">
        <v>0.02</v>
      </c>
      <c r="Z48" s="596">
        <v>0.4</v>
      </c>
    </row>
    <row r="49" spans="1:26" ht="15" customHeight="1" thickBot="1" x14ac:dyDescent="0.25">
      <c r="A49" s="1264"/>
      <c r="B49" s="1265"/>
      <c r="C49" s="1265"/>
      <c r="D49" s="1264"/>
      <c r="E49" s="1264"/>
      <c r="F49" s="1264"/>
      <c r="G49" s="1264"/>
      <c r="H49" s="1264"/>
      <c r="I49" s="1264"/>
      <c r="J49" s="1264"/>
      <c r="K49" s="1264"/>
      <c r="L49" s="1264"/>
      <c r="M49" s="1264"/>
      <c r="N49" s="1264"/>
      <c r="O49" s="17"/>
      <c r="P49" s="567" t="s">
        <v>186</v>
      </c>
      <c r="Q49" s="585">
        <v>0.17</v>
      </c>
      <c r="R49" s="586">
        <v>6.8000000000000005E-2</v>
      </c>
      <c r="S49" s="585">
        <v>0.15</v>
      </c>
      <c r="T49" s="586">
        <v>0.06</v>
      </c>
      <c r="U49" s="585">
        <v>0.17</v>
      </c>
      <c r="V49" s="587">
        <v>0.1</v>
      </c>
      <c r="W49" s="588">
        <v>0.05</v>
      </c>
      <c r="X49" s="587">
        <v>4.4999999999999998E-2</v>
      </c>
      <c r="Y49" s="588">
        <v>0.02</v>
      </c>
      <c r="Z49" s="596">
        <v>0.4</v>
      </c>
    </row>
    <row r="50" spans="1:26" ht="15" customHeight="1" x14ac:dyDescent="0.2">
      <c r="A50" s="625" t="s">
        <v>37</v>
      </c>
      <c r="B50" s="1280">
        <v>0.313</v>
      </c>
      <c r="C50" s="1280">
        <v>0.156</v>
      </c>
      <c r="D50" s="1270">
        <v>6</v>
      </c>
      <c r="E50" s="1270">
        <v>3</v>
      </c>
      <c r="F50" s="1270">
        <v>30</v>
      </c>
      <c r="G50" s="1270">
        <v>30</v>
      </c>
      <c r="H50" s="1270">
        <v>30</v>
      </c>
      <c r="I50" s="1270">
        <v>23</v>
      </c>
      <c r="J50" s="1270">
        <v>11</v>
      </c>
      <c r="K50" s="1270">
        <v>30</v>
      </c>
      <c r="L50" s="1280">
        <v>8.9999999999999993E-3</v>
      </c>
      <c r="M50" s="1280">
        <v>0.05</v>
      </c>
      <c r="N50" s="1269">
        <v>3</v>
      </c>
      <c r="O50" s="17"/>
      <c r="P50" s="631" t="s">
        <v>187</v>
      </c>
      <c r="Q50" s="619">
        <v>8.2000000000000003E-2</v>
      </c>
      <c r="R50" s="620">
        <v>3.3000000000000002E-2</v>
      </c>
      <c r="S50" s="585">
        <v>0.15</v>
      </c>
      <c r="T50" s="586">
        <v>0.06</v>
      </c>
      <c r="U50" s="619">
        <v>8.2000000000000003E-2</v>
      </c>
      <c r="V50" s="587">
        <v>0.1</v>
      </c>
      <c r="W50" s="588">
        <v>0.05</v>
      </c>
      <c r="X50" s="587">
        <v>4.4999999999999998E-2</v>
      </c>
      <c r="Y50" s="588">
        <v>0.02</v>
      </c>
      <c r="Z50" s="596">
        <v>0.4</v>
      </c>
    </row>
    <row r="51" spans="1:26" ht="15" customHeight="1" x14ac:dyDescent="0.2">
      <c r="A51" s="1252" t="s">
        <v>38</v>
      </c>
      <c r="B51" s="1254">
        <v>0.14000000000000001</v>
      </c>
      <c r="C51" s="1254">
        <v>7.0000000000000007E-2</v>
      </c>
      <c r="D51" s="1253">
        <v>7</v>
      </c>
      <c r="E51" s="1253">
        <v>4</v>
      </c>
      <c r="F51" s="1253">
        <v>30</v>
      </c>
      <c r="G51" s="1253">
        <v>30</v>
      </c>
      <c r="H51" s="1253">
        <v>30</v>
      </c>
      <c r="I51" s="1253">
        <v>23</v>
      </c>
      <c r="J51" s="1253">
        <v>11</v>
      </c>
      <c r="K51" s="1253">
        <v>30</v>
      </c>
      <c r="L51" s="1254">
        <v>8.9999999999999993E-3</v>
      </c>
      <c r="M51" s="1254">
        <v>0.05</v>
      </c>
      <c r="N51" s="1251">
        <v>3</v>
      </c>
      <c r="O51" s="17"/>
      <c r="P51" s="567" t="s">
        <v>188</v>
      </c>
      <c r="Q51" s="585">
        <v>8.7999999999999995E-2</v>
      </c>
      <c r="R51" s="586">
        <v>3.5000000000000003E-2</v>
      </c>
      <c r="S51" s="585">
        <v>0.15</v>
      </c>
      <c r="T51" s="586">
        <v>0.06</v>
      </c>
      <c r="U51" s="585">
        <v>8.7999999999999995E-2</v>
      </c>
      <c r="V51" s="587">
        <v>0.1</v>
      </c>
      <c r="W51" s="588">
        <v>0.05</v>
      </c>
      <c r="X51" s="587">
        <v>4.4999999999999998E-2</v>
      </c>
      <c r="Y51" s="588">
        <v>0.02</v>
      </c>
      <c r="Z51" s="596">
        <v>0.4</v>
      </c>
    </row>
    <row r="52" spans="1:26" ht="15" customHeight="1" x14ac:dyDescent="0.2">
      <c r="A52" s="1252" t="s">
        <v>39</v>
      </c>
      <c r="B52" s="1254">
        <v>0.125</v>
      </c>
      <c r="C52" s="1254">
        <v>6.2E-2</v>
      </c>
      <c r="D52" s="1253">
        <v>7</v>
      </c>
      <c r="E52" s="1253">
        <v>4</v>
      </c>
      <c r="F52" s="1253">
        <v>30</v>
      </c>
      <c r="G52" s="1253">
        <v>30</v>
      </c>
      <c r="H52" s="1253">
        <v>30</v>
      </c>
      <c r="I52" s="1253">
        <v>23</v>
      </c>
      <c r="J52" s="1253">
        <v>11</v>
      </c>
      <c r="K52" s="1253">
        <v>30</v>
      </c>
      <c r="L52" s="1254">
        <v>8.9999999999999993E-3</v>
      </c>
      <c r="M52" s="1254">
        <v>0.05</v>
      </c>
      <c r="N52" s="1251">
        <v>3</v>
      </c>
      <c r="O52" s="17"/>
      <c r="P52" s="567" t="s">
        <v>189</v>
      </c>
      <c r="Q52" s="585">
        <v>6.5000000000000002E-2</v>
      </c>
      <c r="R52" s="586">
        <v>2.5999999999999999E-2</v>
      </c>
      <c r="S52" s="585">
        <v>0.15</v>
      </c>
      <c r="T52" s="586">
        <v>0.06</v>
      </c>
      <c r="U52" s="585">
        <v>6.5000000000000002E-2</v>
      </c>
      <c r="V52" s="587">
        <v>0.1</v>
      </c>
      <c r="W52" s="588">
        <v>0.05</v>
      </c>
      <c r="X52" s="587">
        <v>4.4999999999999998E-2</v>
      </c>
      <c r="Y52" s="588">
        <v>0.02</v>
      </c>
      <c r="Z52" s="596">
        <v>0.4</v>
      </c>
    </row>
    <row r="53" spans="1:26" ht="15" customHeight="1" x14ac:dyDescent="0.2">
      <c r="A53" s="1252" t="s">
        <v>40</v>
      </c>
      <c r="B53" s="1254">
        <v>0.188</v>
      </c>
      <c r="C53" s="1254">
        <v>9.4E-2</v>
      </c>
      <c r="D53" s="1253">
        <v>8</v>
      </c>
      <c r="E53" s="1253">
        <v>4</v>
      </c>
      <c r="F53" s="1253">
        <v>30</v>
      </c>
      <c r="G53" s="1253">
        <v>30</v>
      </c>
      <c r="H53" s="1253">
        <v>30</v>
      </c>
      <c r="I53" s="1253">
        <v>23</v>
      </c>
      <c r="J53" s="1253">
        <v>11</v>
      </c>
      <c r="K53" s="1253">
        <v>30</v>
      </c>
      <c r="L53" s="1254">
        <v>8.9999999999999993E-3</v>
      </c>
      <c r="M53" s="1254">
        <v>0.05</v>
      </c>
      <c r="N53" s="1251">
        <v>3</v>
      </c>
      <c r="O53" s="17"/>
      <c r="P53" s="567" t="s">
        <v>190</v>
      </c>
      <c r="Q53" s="585">
        <v>7.5999999999999998E-2</v>
      </c>
      <c r="R53" s="586">
        <v>0.03</v>
      </c>
      <c r="S53" s="585">
        <v>0.15</v>
      </c>
      <c r="T53" s="586">
        <v>0.06</v>
      </c>
      <c r="U53" s="585">
        <v>7.5999999999999998E-2</v>
      </c>
      <c r="V53" s="587">
        <v>0.1</v>
      </c>
      <c r="W53" s="588">
        <v>0.05</v>
      </c>
      <c r="X53" s="587">
        <v>4.4999999999999998E-2</v>
      </c>
      <c r="Y53" s="588">
        <v>0.02</v>
      </c>
      <c r="Z53" s="596">
        <v>0.4</v>
      </c>
    </row>
    <row r="54" spans="1:26" ht="15" customHeight="1" x14ac:dyDescent="0.2">
      <c r="A54" s="1252" t="s">
        <v>41</v>
      </c>
      <c r="B54" s="1254">
        <v>0.14000000000000001</v>
      </c>
      <c r="C54" s="1254">
        <v>7.0000000000000007E-2</v>
      </c>
      <c r="D54" s="1253">
        <v>8</v>
      </c>
      <c r="E54" s="1253">
        <v>4</v>
      </c>
      <c r="F54" s="1253">
        <v>30</v>
      </c>
      <c r="G54" s="1253">
        <v>30</v>
      </c>
      <c r="H54" s="1253">
        <v>30</v>
      </c>
      <c r="I54" s="1253">
        <v>23</v>
      </c>
      <c r="J54" s="1253">
        <v>11</v>
      </c>
      <c r="K54" s="1253">
        <v>30</v>
      </c>
      <c r="L54" s="1254">
        <v>8.9999999999999993E-3</v>
      </c>
      <c r="M54" s="1254">
        <v>0.05</v>
      </c>
      <c r="N54" s="1251">
        <v>3</v>
      </c>
      <c r="O54" s="17"/>
      <c r="P54" s="567" t="s">
        <v>191</v>
      </c>
      <c r="Q54" s="585">
        <v>9.1999999999999998E-2</v>
      </c>
      <c r="R54" s="586">
        <v>3.6999999999999998E-2</v>
      </c>
      <c r="S54" s="585">
        <v>0.15</v>
      </c>
      <c r="T54" s="586">
        <v>0.06</v>
      </c>
      <c r="U54" s="585">
        <v>9.1999999999999998E-2</v>
      </c>
      <c r="V54" s="587">
        <v>0.1</v>
      </c>
      <c r="W54" s="588">
        <v>0.05</v>
      </c>
      <c r="X54" s="587">
        <v>4.4999999999999998E-2</v>
      </c>
      <c r="Y54" s="588">
        <v>0.02</v>
      </c>
      <c r="Z54" s="596">
        <v>0.4</v>
      </c>
    </row>
    <row r="55" spans="1:26" ht="15" customHeight="1" x14ac:dyDescent="0.2">
      <c r="A55" s="1252" t="s">
        <v>42</v>
      </c>
      <c r="B55" s="1254">
        <v>0.105</v>
      </c>
      <c r="C55" s="1254">
        <v>5.1999999999999998E-2</v>
      </c>
      <c r="D55" s="1253">
        <v>9</v>
      </c>
      <c r="E55" s="1253">
        <v>5</v>
      </c>
      <c r="F55" s="1253">
        <v>30</v>
      </c>
      <c r="G55" s="1253">
        <v>30</v>
      </c>
      <c r="H55" s="1253">
        <v>30</v>
      </c>
      <c r="I55" s="1253">
        <v>23</v>
      </c>
      <c r="J55" s="1253">
        <v>11</v>
      </c>
      <c r="K55" s="1253">
        <v>30</v>
      </c>
      <c r="L55" s="1254">
        <v>8.9999999999999993E-3</v>
      </c>
      <c r="M55" s="1254">
        <v>0.05</v>
      </c>
      <c r="N55" s="1251">
        <v>3</v>
      </c>
      <c r="O55" s="17"/>
      <c r="P55" s="567" t="s">
        <v>192</v>
      </c>
      <c r="Q55" s="585">
        <v>0.13500000000000001</v>
      </c>
      <c r="R55" s="586">
        <v>5.3999999999999999E-2</v>
      </c>
      <c r="S55" s="585">
        <v>0.15</v>
      </c>
      <c r="T55" s="586">
        <v>0.06</v>
      </c>
      <c r="U55" s="585">
        <v>0.13500000000000001</v>
      </c>
      <c r="V55" s="587">
        <v>0.1</v>
      </c>
      <c r="W55" s="588">
        <v>0.05</v>
      </c>
      <c r="X55" s="587">
        <v>4.4999999999999998E-2</v>
      </c>
      <c r="Y55" s="588">
        <v>0.02</v>
      </c>
      <c r="Z55" s="596">
        <v>0.4</v>
      </c>
    </row>
    <row r="56" spans="1:26" ht="15" customHeight="1" x14ac:dyDescent="0.2">
      <c r="A56" s="1252" t="s">
        <v>43</v>
      </c>
      <c r="B56" s="1254">
        <v>8.5000000000000006E-2</v>
      </c>
      <c r="C56" s="1254">
        <v>4.2000000000000003E-2</v>
      </c>
      <c r="D56" s="1253">
        <v>9</v>
      </c>
      <c r="E56" s="1253">
        <v>5</v>
      </c>
      <c r="F56" s="1253">
        <v>30</v>
      </c>
      <c r="G56" s="1253">
        <v>30</v>
      </c>
      <c r="H56" s="1253">
        <v>30</v>
      </c>
      <c r="I56" s="1253">
        <v>23</v>
      </c>
      <c r="J56" s="1253">
        <v>11</v>
      </c>
      <c r="K56" s="1253">
        <v>30</v>
      </c>
      <c r="L56" s="1254">
        <v>8.9999999999999993E-3</v>
      </c>
      <c r="M56" s="1254">
        <v>0.05</v>
      </c>
      <c r="N56" s="1251">
        <v>3</v>
      </c>
      <c r="O56" s="17"/>
      <c r="P56" s="567" t="s">
        <v>193</v>
      </c>
      <c r="Q56" s="585">
        <v>0.107</v>
      </c>
      <c r="R56" s="586">
        <v>4.2999999999999997E-2</v>
      </c>
      <c r="S56" s="585">
        <v>0.15</v>
      </c>
      <c r="T56" s="586">
        <v>0.06</v>
      </c>
      <c r="U56" s="585">
        <v>0.107</v>
      </c>
      <c r="V56" s="587">
        <v>0.1</v>
      </c>
      <c r="W56" s="588">
        <v>0.05</v>
      </c>
      <c r="X56" s="587">
        <v>4.4999999999999998E-2</v>
      </c>
      <c r="Y56" s="588">
        <v>0.02</v>
      </c>
      <c r="Z56" s="596">
        <v>0.4</v>
      </c>
    </row>
    <row r="57" spans="1:26" ht="15" customHeight="1" thickBot="1" x14ac:dyDescent="0.25">
      <c r="A57" s="573" t="s">
        <v>44</v>
      </c>
      <c r="B57" s="1279">
        <v>7.2999999999999995E-2</v>
      </c>
      <c r="C57" s="1279">
        <v>3.5999999999999997E-2</v>
      </c>
      <c r="D57" s="575">
        <v>9</v>
      </c>
      <c r="E57" s="575">
        <v>5</v>
      </c>
      <c r="F57" s="575">
        <v>30</v>
      </c>
      <c r="G57" s="575">
        <v>30</v>
      </c>
      <c r="H57" s="575">
        <v>30</v>
      </c>
      <c r="I57" s="575">
        <v>23</v>
      </c>
      <c r="J57" s="575">
        <v>11</v>
      </c>
      <c r="K57" s="575">
        <v>30</v>
      </c>
      <c r="L57" s="1279">
        <v>8.9999999999999993E-3</v>
      </c>
      <c r="M57" s="1279">
        <v>0.05</v>
      </c>
      <c r="N57" s="574">
        <v>3</v>
      </c>
      <c r="O57" s="17"/>
      <c r="P57" s="567" t="s">
        <v>194</v>
      </c>
      <c r="Q57" s="585">
        <v>8.4000000000000005E-2</v>
      </c>
      <c r="R57" s="586">
        <v>3.4000000000000002E-2</v>
      </c>
      <c r="S57" s="585">
        <v>0.15</v>
      </c>
      <c r="T57" s="586">
        <v>0.06</v>
      </c>
      <c r="U57" s="585">
        <v>8.4000000000000005E-2</v>
      </c>
      <c r="V57" s="587">
        <v>0.1</v>
      </c>
      <c r="W57" s="588">
        <v>0.05</v>
      </c>
      <c r="X57" s="587">
        <v>4.4999999999999998E-2</v>
      </c>
      <c r="Y57" s="588">
        <v>0.02</v>
      </c>
      <c r="Z57" s="596">
        <v>0.4</v>
      </c>
    </row>
    <row r="58" spans="1:26" ht="15" customHeight="1" thickBot="1" x14ac:dyDescent="0.25">
      <c r="A58" s="1264"/>
      <c r="B58" s="1265"/>
      <c r="C58" s="1265"/>
      <c r="D58" s="1264"/>
      <c r="E58" s="1264"/>
      <c r="F58" s="1264"/>
      <c r="G58" s="1264"/>
      <c r="H58" s="1264"/>
      <c r="I58" s="1264"/>
      <c r="J58" s="1264"/>
      <c r="K58" s="1281"/>
      <c r="L58" s="1281"/>
      <c r="M58" s="1281"/>
      <c r="N58" s="1264"/>
      <c r="O58" s="17"/>
      <c r="P58" s="567" t="s">
        <v>195</v>
      </c>
      <c r="Q58" s="585">
        <v>7.1999999999999995E-2</v>
      </c>
      <c r="R58" s="586">
        <v>2.9000000000000001E-2</v>
      </c>
      <c r="S58" s="585">
        <v>0.15</v>
      </c>
      <c r="T58" s="586">
        <v>0.06</v>
      </c>
      <c r="U58" s="585">
        <v>7.1999999999999995E-2</v>
      </c>
      <c r="V58" s="587">
        <v>0.1</v>
      </c>
      <c r="W58" s="588">
        <v>0.05</v>
      </c>
      <c r="X58" s="587">
        <v>4.4999999999999998E-2</v>
      </c>
      <c r="Y58" s="588">
        <v>0.02</v>
      </c>
      <c r="Z58" s="596">
        <v>0.4</v>
      </c>
    </row>
    <row r="59" spans="1:26" ht="15" customHeight="1" thickBot="1" x14ac:dyDescent="0.25">
      <c r="A59" s="1282" t="s">
        <v>329</v>
      </c>
      <c r="B59" s="1283">
        <v>6.3E-2</v>
      </c>
      <c r="C59" s="1283">
        <v>3.1E-2</v>
      </c>
      <c r="D59" s="1287"/>
      <c r="E59" s="1287"/>
      <c r="F59" s="1284"/>
      <c r="G59" s="1284"/>
      <c r="H59" s="1284"/>
      <c r="I59" s="1284"/>
      <c r="J59" s="1284"/>
      <c r="K59" s="1285"/>
      <c r="L59" s="1285"/>
      <c r="M59" s="1285"/>
      <c r="N59" s="1286">
        <v>0</v>
      </c>
      <c r="O59" s="17"/>
      <c r="P59" s="567" t="s">
        <v>196</v>
      </c>
      <c r="Q59" s="585">
        <v>0.09</v>
      </c>
      <c r="R59" s="586">
        <v>3.2000000000000001E-2</v>
      </c>
      <c r="S59" s="585">
        <v>0.15</v>
      </c>
      <c r="T59" s="586">
        <v>0.06</v>
      </c>
      <c r="U59" s="585">
        <v>0.09</v>
      </c>
      <c r="V59" s="587">
        <v>0.1</v>
      </c>
      <c r="W59" s="588">
        <v>0.05</v>
      </c>
      <c r="X59" s="587">
        <v>4.4999999999999998E-2</v>
      </c>
      <c r="Y59" s="588">
        <v>0.02</v>
      </c>
      <c r="Z59" s="596">
        <v>0.4</v>
      </c>
    </row>
    <row r="60" spans="1:26" ht="15" customHeight="1" x14ac:dyDescent="0.2">
      <c r="P60" s="567" t="s">
        <v>197</v>
      </c>
      <c r="Q60" s="585">
        <v>7.3999999999999996E-2</v>
      </c>
      <c r="R60" s="586">
        <v>0.03</v>
      </c>
      <c r="S60" s="585">
        <v>0.15</v>
      </c>
      <c r="T60" s="586">
        <v>0.06</v>
      </c>
      <c r="U60" s="585">
        <v>7.3999999999999996E-2</v>
      </c>
      <c r="V60" s="587">
        <v>0.1</v>
      </c>
      <c r="W60" s="588">
        <v>0.05</v>
      </c>
      <c r="X60" s="587">
        <v>4.4999999999999998E-2</v>
      </c>
      <c r="Y60" s="588">
        <v>0.02</v>
      </c>
      <c r="Z60" s="596">
        <v>0.4</v>
      </c>
    </row>
    <row r="61" spans="1:26" ht="15" customHeight="1" x14ac:dyDescent="0.2">
      <c r="A61" s="385" t="s">
        <v>324</v>
      </c>
      <c r="B61" s="386" t="s">
        <v>339</v>
      </c>
      <c r="C61" s="386" t="s">
        <v>340</v>
      </c>
      <c r="D61" s="385" t="s">
        <v>341</v>
      </c>
      <c r="E61" s="385" t="s">
        <v>342</v>
      </c>
      <c r="F61" s="385" t="s">
        <v>2</v>
      </c>
      <c r="G61" s="385" t="s">
        <v>3</v>
      </c>
      <c r="H61" s="385" t="s">
        <v>4</v>
      </c>
      <c r="I61" s="385" t="s">
        <v>345</v>
      </c>
      <c r="J61" s="385" t="s">
        <v>346</v>
      </c>
      <c r="K61" s="385" t="s">
        <v>349</v>
      </c>
      <c r="L61" s="385" t="s">
        <v>350</v>
      </c>
      <c r="M61" s="386" t="s">
        <v>351</v>
      </c>
      <c r="N61" s="385" t="s">
        <v>133</v>
      </c>
      <c r="O61" s="17"/>
      <c r="P61" s="567" t="s">
        <v>198</v>
      </c>
      <c r="Q61" s="585">
        <v>0.77</v>
      </c>
      <c r="R61" s="586">
        <v>3.1E-2</v>
      </c>
      <c r="S61" s="585">
        <v>0.15</v>
      </c>
      <c r="T61" s="586">
        <v>0.06</v>
      </c>
      <c r="U61" s="585">
        <v>0.77</v>
      </c>
      <c r="V61" s="587">
        <v>0.1</v>
      </c>
      <c r="W61" s="588">
        <v>0.05</v>
      </c>
      <c r="X61" s="587">
        <v>4.4999999999999998E-2</v>
      </c>
      <c r="Y61" s="588">
        <v>0.02</v>
      </c>
      <c r="Z61" s="596">
        <v>0.4</v>
      </c>
    </row>
    <row r="62" spans="1:26" ht="15" customHeight="1" x14ac:dyDescent="0.2">
      <c r="A62" s="387" t="s">
        <v>9</v>
      </c>
      <c r="B62" s="1254">
        <v>0.34499999999999997</v>
      </c>
      <c r="C62" s="1254">
        <v>0.17199999999999999</v>
      </c>
      <c r="D62" s="1253">
        <v>7</v>
      </c>
      <c r="E62" s="1253">
        <v>4</v>
      </c>
      <c r="F62" s="1255">
        <v>25</v>
      </c>
      <c r="G62" s="1255">
        <v>25</v>
      </c>
      <c r="H62" s="1255">
        <v>25</v>
      </c>
      <c r="I62" s="1253">
        <v>28</v>
      </c>
      <c r="J62" s="1253">
        <v>14</v>
      </c>
      <c r="K62" s="1253">
        <v>45</v>
      </c>
      <c r="L62" s="1254">
        <v>8.0000000000000002E-3</v>
      </c>
      <c r="M62" s="1254">
        <v>0.05</v>
      </c>
      <c r="N62" s="388">
        <v>1</v>
      </c>
      <c r="O62" s="17"/>
      <c r="P62" s="567" t="s">
        <v>199</v>
      </c>
      <c r="Q62" s="585">
        <v>7.2999999999999995E-2</v>
      </c>
      <c r="R62" s="586">
        <v>2.9000000000000001E-2</v>
      </c>
      <c r="S62" s="585">
        <v>0.15</v>
      </c>
      <c r="T62" s="586">
        <v>0.06</v>
      </c>
      <c r="U62" s="585">
        <v>7.2999999999999995E-2</v>
      </c>
      <c r="V62" s="587">
        <v>0.1</v>
      </c>
      <c r="W62" s="588">
        <v>0.05</v>
      </c>
      <c r="X62" s="587">
        <v>4.4999999999999998E-2</v>
      </c>
      <c r="Y62" s="588">
        <v>0.02</v>
      </c>
      <c r="Z62" s="596">
        <v>0.4</v>
      </c>
    </row>
    <row r="63" spans="1:26" ht="15" customHeight="1" x14ac:dyDescent="0.2">
      <c r="A63" s="387" t="s">
        <v>13</v>
      </c>
      <c r="B63" s="1254">
        <v>0.20699999999999999</v>
      </c>
      <c r="C63" s="1254">
        <v>0.10299999999999999</v>
      </c>
      <c r="D63" s="1253">
        <v>8</v>
      </c>
      <c r="E63" s="1253">
        <v>4</v>
      </c>
      <c r="F63" s="1255">
        <v>25</v>
      </c>
      <c r="G63" s="1255">
        <v>25</v>
      </c>
      <c r="H63" s="1255">
        <v>25</v>
      </c>
      <c r="I63" s="1253">
        <v>28</v>
      </c>
      <c r="J63" s="1253">
        <v>14</v>
      </c>
      <c r="K63" s="1253">
        <v>45</v>
      </c>
      <c r="L63" s="1254">
        <v>8.0000000000000002E-3</v>
      </c>
      <c r="M63" s="1254">
        <v>0.05</v>
      </c>
      <c r="N63" s="388">
        <v>1</v>
      </c>
      <c r="O63" s="17"/>
      <c r="P63" s="567" t="s">
        <v>200</v>
      </c>
      <c r="Q63" s="585">
        <v>8.3000000000000004E-2</v>
      </c>
      <c r="R63" s="586">
        <v>3.3000000000000002E-2</v>
      </c>
      <c r="S63" s="585">
        <v>0.15</v>
      </c>
      <c r="T63" s="586">
        <v>0.06</v>
      </c>
      <c r="U63" s="585">
        <v>8.3000000000000004E-2</v>
      </c>
      <c r="V63" s="587">
        <v>0.1</v>
      </c>
      <c r="W63" s="588">
        <v>0.05</v>
      </c>
      <c r="X63" s="587">
        <v>4.4999999999999998E-2</v>
      </c>
      <c r="Y63" s="588">
        <v>0.02</v>
      </c>
      <c r="Z63" s="596">
        <v>0.4</v>
      </c>
    </row>
    <row r="64" spans="1:26" ht="15" customHeight="1" x14ac:dyDescent="0.2">
      <c r="A64" s="387" t="s">
        <v>14</v>
      </c>
      <c r="B64" s="1254">
        <v>0.20699999999999999</v>
      </c>
      <c r="C64" s="1254">
        <v>0.10299999999999999</v>
      </c>
      <c r="D64" s="1253">
        <v>8</v>
      </c>
      <c r="E64" s="1253">
        <v>4</v>
      </c>
      <c r="F64" s="1255">
        <v>25</v>
      </c>
      <c r="G64" s="1255">
        <v>25</v>
      </c>
      <c r="H64" s="1255">
        <v>25</v>
      </c>
      <c r="I64" s="1253">
        <v>28</v>
      </c>
      <c r="J64" s="1253">
        <v>14</v>
      </c>
      <c r="K64" s="1253">
        <v>45</v>
      </c>
      <c r="L64" s="1254">
        <v>8.0000000000000002E-3</v>
      </c>
      <c r="M64" s="1254">
        <v>0.05</v>
      </c>
      <c r="N64" s="388">
        <v>1</v>
      </c>
      <c r="O64" s="17"/>
      <c r="P64" s="567" t="s">
        <v>201</v>
      </c>
      <c r="Q64" s="585">
        <v>6.5000000000000002E-2</v>
      </c>
      <c r="R64" s="586">
        <v>2.5999999999999999E-2</v>
      </c>
      <c r="S64" s="585">
        <v>0.15</v>
      </c>
      <c r="T64" s="586">
        <v>0.06</v>
      </c>
      <c r="U64" s="585">
        <v>6.5000000000000002E-2</v>
      </c>
      <c r="V64" s="587">
        <v>0.1</v>
      </c>
      <c r="W64" s="588">
        <v>0.05</v>
      </c>
      <c r="X64" s="587">
        <v>4.4999999999999998E-2</v>
      </c>
      <c r="Y64" s="588">
        <v>0.02</v>
      </c>
      <c r="Z64" s="596">
        <v>0.4</v>
      </c>
    </row>
    <row r="65" spans="1:26" ht="15" customHeight="1" x14ac:dyDescent="0.2">
      <c r="A65" s="387" t="s">
        <v>15</v>
      </c>
      <c r="B65" s="1254">
        <v>0.20699999999999999</v>
      </c>
      <c r="C65" s="1254">
        <v>0.10299999999999999</v>
      </c>
      <c r="D65" s="1253">
        <v>9</v>
      </c>
      <c r="E65" s="1253">
        <v>5</v>
      </c>
      <c r="F65" s="1255">
        <v>25</v>
      </c>
      <c r="G65" s="1255">
        <v>25</v>
      </c>
      <c r="H65" s="1255">
        <v>25</v>
      </c>
      <c r="I65" s="1253">
        <v>28</v>
      </c>
      <c r="J65" s="1253">
        <v>14</v>
      </c>
      <c r="K65" s="1253">
        <v>45</v>
      </c>
      <c r="L65" s="1254">
        <v>8.0000000000000002E-3</v>
      </c>
      <c r="M65" s="1254">
        <v>0.05</v>
      </c>
      <c r="N65" s="388">
        <v>1</v>
      </c>
      <c r="O65" s="17"/>
      <c r="P65" s="567" t="s">
        <v>202</v>
      </c>
      <c r="Q65" s="585">
        <v>7.2999999999999995E-2</v>
      </c>
      <c r="R65" s="586">
        <v>2.9000000000000001E-2</v>
      </c>
      <c r="S65" s="585">
        <v>0.15</v>
      </c>
      <c r="T65" s="586">
        <v>0.06</v>
      </c>
      <c r="U65" s="585">
        <v>7.2999999999999995E-2</v>
      </c>
      <c r="V65" s="587">
        <v>0.1</v>
      </c>
      <c r="W65" s="588">
        <v>0.05</v>
      </c>
      <c r="X65" s="587">
        <v>4.4999999999999998E-2</v>
      </c>
      <c r="Y65" s="588">
        <v>0.02</v>
      </c>
      <c r="Z65" s="596">
        <v>0.4</v>
      </c>
    </row>
    <row r="66" spans="1:26" ht="15" customHeight="1" x14ac:dyDescent="0.2">
      <c r="A66" s="387" t="s">
        <v>16</v>
      </c>
      <c r="B66" s="1254">
        <v>0.154</v>
      </c>
      <c r="C66" s="1254">
        <v>7.6999999999999999E-2</v>
      </c>
      <c r="D66" s="1253">
        <v>9</v>
      </c>
      <c r="E66" s="1253">
        <v>5</v>
      </c>
      <c r="F66" s="1255">
        <v>25</v>
      </c>
      <c r="G66" s="1255">
        <v>25</v>
      </c>
      <c r="H66" s="1255">
        <v>25</v>
      </c>
      <c r="I66" s="1253">
        <v>28</v>
      </c>
      <c r="J66" s="1253">
        <v>14</v>
      </c>
      <c r="K66" s="1253">
        <v>45</v>
      </c>
      <c r="L66" s="1254">
        <v>8.0000000000000002E-3</v>
      </c>
      <c r="M66" s="1254">
        <v>0.05</v>
      </c>
      <c r="N66" s="388">
        <v>1</v>
      </c>
      <c r="O66" s="17"/>
      <c r="P66" s="567" t="s">
        <v>203</v>
      </c>
      <c r="Q66" s="585">
        <v>5.6000000000000001E-2</v>
      </c>
      <c r="R66" s="586">
        <v>2.1999999999999999E-2</v>
      </c>
      <c r="S66" s="585">
        <v>0.15</v>
      </c>
      <c r="T66" s="586">
        <v>0.06</v>
      </c>
      <c r="U66" s="585">
        <v>5.6000000000000001E-2</v>
      </c>
      <c r="V66" s="587">
        <v>0.1</v>
      </c>
      <c r="W66" s="588">
        <v>0.05</v>
      </c>
      <c r="X66" s="587">
        <v>4.4999999999999998E-2</v>
      </c>
      <c r="Y66" s="588">
        <v>0.02</v>
      </c>
      <c r="Z66" s="596">
        <v>0.4</v>
      </c>
    </row>
    <row r="67" spans="1:26" ht="15" customHeight="1" x14ac:dyDescent="0.2">
      <c r="A67" s="387" t="s">
        <v>17</v>
      </c>
      <c r="B67" s="1254">
        <v>0.11600000000000001</v>
      </c>
      <c r="C67" s="1254">
        <v>5.8000000000000003E-2</v>
      </c>
      <c r="D67" s="1253">
        <v>10</v>
      </c>
      <c r="E67" s="1253">
        <v>5</v>
      </c>
      <c r="F67" s="1255">
        <v>25</v>
      </c>
      <c r="G67" s="1255">
        <v>25</v>
      </c>
      <c r="H67" s="1255">
        <v>25</v>
      </c>
      <c r="I67" s="1253">
        <v>28</v>
      </c>
      <c r="J67" s="1253">
        <v>14</v>
      </c>
      <c r="K67" s="1253">
        <v>45</v>
      </c>
      <c r="L67" s="1254">
        <v>8.0000000000000002E-3</v>
      </c>
      <c r="M67" s="1254">
        <v>0.05</v>
      </c>
      <c r="N67" s="388">
        <v>1</v>
      </c>
      <c r="O67" s="17"/>
      <c r="P67" s="567" t="s">
        <v>307</v>
      </c>
      <c r="Q67" s="585">
        <v>6.4000000000000001E-2</v>
      </c>
      <c r="R67" s="586">
        <v>2.5999999999999999E-2</v>
      </c>
      <c r="S67" s="585">
        <v>0.15</v>
      </c>
      <c r="T67" s="586">
        <v>0.06</v>
      </c>
      <c r="U67" s="585">
        <v>6.4000000000000001E-2</v>
      </c>
      <c r="V67" s="587">
        <v>0.1</v>
      </c>
      <c r="W67" s="588">
        <v>0.05</v>
      </c>
      <c r="X67" s="587">
        <v>4.4999999999999998E-2</v>
      </c>
      <c r="Y67" s="588">
        <v>0.02</v>
      </c>
      <c r="Z67" s="596">
        <v>0.4</v>
      </c>
    </row>
    <row r="68" spans="1:26" ht="15" customHeight="1" x14ac:dyDescent="0.2">
      <c r="A68" s="387" t="s">
        <v>18</v>
      </c>
      <c r="B68" s="1254">
        <v>8.7999999999999995E-2</v>
      </c>
      <c r="C68" s="1254">
        <v>4.3999999999999997E-2</v>
      </c>
      <c r="D68" s="1253">
        <v>10</v>
      </c>
      <c r="E68" s="1253">
        <v>5</v>
      </c>
      <c r="F68" s="1255">
        <v>25</v>
      </c>
      <c r="G68" s="1255">
        <v>25</v>
      </c>
      <c r="H68" s="1255">
        <v>25</v>
      </c>
      <c r="I68" s="1253">
        <v>28</v>
      </c>
      <c r="J68" s="1253">
        <v>14</v>
      </c>
      <c r="K68" s="1253">
        <v>45</v>
      </c>
      <c r="L68" s="1254">
        <v>8.0000000000000002E-3</v>
      </c>
      <c r="M68" s="1254">
        <v>0.05</v>
      </c>
      <c r="N68" s="388">
        <v>1</v>
      </c>
      <c r="O68" s="17"/>
      <c r="P68" s="567" t="s">
        <v>305</v>
      </c>
      <c r="Q68" s="585">
        <v>5.6000000000000001E-2</v>
      </c>
      <c r="R68" s="586">
        <v>2.1999999999999999E-2</v>
      </c>
      <c r="S68" s="585">
        <v>0.15</v>
      </c>
      <c r="T68" s="586">
        <v>0.06</v>
      </c>
      <c r="U68" s="585">
        <v>5.6000000000000001E-2</v>
      </c>
      <c r="V68" s="587">
        <v>0.1</v>
      </c>
      <c r="W68" s="588">
        <v>0.05</v>
      </c>
      <c r="X68" s="587">
        <v>4.4999999999999998E-2</v>
      </c>
      <c r="Y68" s="588">
        <v>0.02</v>
      </c>
      <c r="Z68" s="596">
        <v>0.4</v>
      </c>
    </row>
    <row r="69" spans="1:26" ht="15" customHeight="1" thickBot="1" x14ac:dyDescent="0.25">
      <c r="A69" s="1292" t="s">
        <v>19</v>
      </c>
      <c r="B69" s="1279">
        <v>0.08</v>
      </c>
      <c r="C69" s="1279">
        <v>0.04</v>
      </c>
      <c r="D69" s="575">
        <v>10</v>
      </c>
      <c r="E69" s="575">
        <v>5</v>
      </c>
      <c r="F69" s="1288">
        <v>25</v>
      </c>
      <c r="G69" s="1288">
        <v>25</v>
      </c>
      <c r="H69" s="1288">
        <v>25</v>
      </c>
      <c r="I69" s="575">
        <v>28</v>
      </c>
      <c r="J69" s="575">
        <v>14</v>
      </c>
      <c r="K69" s="575">
        <v>45</v>
      </c>
      <c r="L69" s="1279">
        <v>8.0000000000000002E-3</v>
      </c>
      <c r="M69" s="1279">
        <v>0.05</v>
      </c>
      <c r="N69" s="1293">
        <v>1</v>
      </c>
      <c r="O69" s="17"/>
      <c r="P69" s="567" t="s">
        <v>306</v>
      </c>
      <c r="Q69" s="585">
        <v>0.06</v>
      </c>
      <c r="R69" s="586">
        <v>2.4E-2</v>
      </c>
      <c r="S69" s="585">
        <v>0.15</v>
      </c>
      <c r="T69" s="586">
        <v>0.06</v>
      </c>
      <c r="U69" s="585">
        <v>0.06</v>
      </c>
      <c r="V69" s="587">
        <v>0.1</v>
      </c>
      <c r="W69" s="588">
        <v>0.05</v>
      </c>
      <c r="X69" s="587">
        <v>4.4999999999999998E-2</v>
      </c>
      <c r="Y69" s="588">
        <v>0.02</v>
      </c>
      <c r="Z69" s="596">
        <v>0.4</v>
      </c>
    </row>
    <row r="70" spans="1:26" ht="15" customHeight="1" thickBot="1" x14ac:dyDescent="0.25">
      <c r="A70" s="1264"/>
      <c r="B70" s="1265"/>
      <c r="C70" s="1265"/>
      <c r="D70" s="1264"/>
      <c r="E70" s="1264"/>
      <c r="F70" s="1264"/>
      <c r="G70" s="1264"/>
      <c r="H70" s="1264"/>
      <c r="I70" s="1264"/>
      <c r="J70" s="1264"/>
      <c r="K70" s="1264"/>
      <c r="L70" s="1264"/>
      <c r="M70" s="1265"/>
      <c r="N70" s="1264"/>
      <c r="O70" s="17"/>
      <c r="P70" s="567" t="s">
        <v>204</v>
      </c>
      <c r="Q70" s="585">
        <v>5.3999999999999999E-2</v>
      </c>
      <c r="R70" s="586">
        <v>2.1999999999999999E-2</v>
      </c>
      <c r="S70" s="585">
        <v>0.15</v>
      </c>
      <c r="T70" s="586">
        <v>0.06</v>
      </c>
      <c r="U70" s="585">
        <v>5.3999999999999999E-2</v>
      </c>
      <c r="V70" s="587">
        <v>0.1</v>
      </c>
      <c r="W70" s="588">
        <v>0.05</v>
      </c>
      <c r="X70" s="587">
        <v>4.4999999999999998E-2</v>
      </c>
      <c r="Y70" s="588">
        <v>0.02</v>
      </c>
      <c r="Z70" s="596">
        <v>0.4</v>
      </c>
    </row>
    <row r="71" spans="1:26" ht="15" customHeight="1" thickBot="1" x14ac:dyDescent="0.25">
      <c r="A71" s="1294" t="s">
        <v>21</v>
      </c>
      <c r="B71" s="1280">
        <v>0.46300000000000002</v>
      </c>
      <c r="C71" s="1280">
        <v>0.23100000000000001</v>
      </c>
      <c r="D71" s="1270">
        <v>9</v>
      </c>
      <c r="E71" s="1270">
        <v>5</v>
      </c>
      <c r="F71" s="1270">
        <v>20</v>
      </c>
      <c r="G71" s="1270">
        <v>20</v>
      </c>
      <c r="H71" s="1270">
        <v>20</v>
      </c>
      <c r="I71" s="1270">
        <v>31</v>
      </c>
      <c r="J71" s="1270">
        <v>15</v>
      </c>
      <c r="K71" s="1270">
        <v>40</v>
      </c>
      <c r="L71" s="1280">
        <v>6.0000000000000001E-3</v>
      </c>
      <c r="M71" s="1280">
        <v>0.05</v>
      </c>
      <c r="N71" s="1295">
        <v>1</v>
      </c>
      <c r="O71" s="17"/>
      <c r="P71" s="573" t="s">
        <v>205</v>
      </c>
      <c r="Q71" s="589">
        <v>5.8000000000000003E-2</v>
      </c>
      <c r="R71" s="590">
        <v>2.3E-2</v>
      </c>
      <c r="S71" s="589">
        <v>0.15</v>
      </c>
      <c r="T71" s="590">
        <v>0.06</v>
      </c>
      <c r="U71" s="589">
        <v>5.8000000000000003E-2</v>
      </c>
      <c r="V71" s="591">
        <v>0.1</v>
      </c>
      <c r="W71" s="592">
        <v>0.05</v>
      </c>
      <c r="X71" s="591">
        <v>4.4999999999999998E-2</v>
      </c>
      <c r="Y71" s="592">
        <v>0.02</v>
      </c>
      <c r="Z71" s="624">
        <v>0.4</v>
      </c>
    </row>
    <row r="72" spans="1:26" ht="15" customHeight="1" thickBot="1" x14ac:dyDescent="0.25">
      <c r="A72" s="387" t="s">
        <v>22</v>
      </c>
      <c r="B72" s="1254">
        <v>0.27500000000000002</v>
      </c>
      <c r="C72" s="1254">
        <v>0.13700000000000001</v>
      </c>
      <c r="D72" s="1253">
        <v>10</v>
      </c>
      <c r="E72" s="1253">
        <v>5</v>
      </c>
      <c r="F72" s="1253">
        <v>20</v>
      </c>
      <c r="G72" s="1253">
        <v>20</v>
      </c>
      <c r="H72" s="1253">
        <v>20</v>
      </c>
      <c r="I72" s="1253">
        <v>31</v>
      </c>
      <c r="J72" s="1253">
        <v>15</v>
      </c>
      <c r="K72" s="1253">
        <v>40</v>
      </c>
      <c r="L72" s="1254">
        <v>6.0000000000000001E-3</v>
      </c>
      <c r="M72" s="1254">
        <v>0.05</v>
      </c>
      <c r="N72" s="388">
        <v>1</v>
      </c>
      <c r="O72" s="17"/>
      <c r="P72" s="632"/>
      <c r="Q72" s="633"/>
      <c r="R72" s="633"/>
      <c r="S72" s="633"/>
      <c r="T72" s="633"/>
      <c r="U72" s="633"/>
      <c r="V72" s="635"/>
      <c r="W72" s="635"/>
      <c r="X72" s="635"/>
      <c r="Y72" s="635"/>
      <c r="Z72" s="634"/>
    </row>
    <row r="73" spans="1:26" ht="15" customHeight="1" x14ac:dyDescent="0.2">
      <c r="A73" s="387" t="s">
        <v>23</v>
      </c>
      <c r="B73" s="1254">
        <v>0.21299999999999999</v>
      </c>
      <c r="C73" s="1254">
        <v>0.106</v>
      </c>
      <c r="D73" s="1253">
        <v>10</v>
      </c>
      <c r="E73" s="1253">
        <v>5</v>
      </c>
      <c r="F73" s="1253">
        <v>20</v>
      </c>
      <c r="G73" s="1253">
        <v>20</v>
      </c>
      <c r="H73" s="1253">
        <v>20</v>
      </c>
      <c r="I73" s="1253">
        <v>31</v>
      </c>
      <c r="J73" s="1253">
        <v>15</v>
      </c>
      <c r="K73" s="1253">
        <v>40</v>
      </c>
      <c r="L73" s="1254">
        <v>6.0000000000000001E-3</v>
      </c>
      <c r="M73" s="1254">
        <v>0.05</v>
      </c>
      <c r="N73" s="388">
        <v>1</v>
      </c>
      <c r="O73" s="17"/>
      <c r="P73" s="625" t="s">
        <v>206</v>
      </c>
      <c r="Q73" s="626">
        <v>0.14000000000000001</v>
      </c>
      <c r="R73" s="627">
        <v>5.6000000000000001E-2</v>
      </c>
      <c r="S73" s="626">
        <v>0.13</v>
      </c>
      <c r="T73" s="627">
        <v>0.05</v>
      </c>
      <c r="U73" s="626">
        <v>0.14000000000000001</v>
      </c>
      <c r="V73" s="628">
        <v>0.09</v>
      </c>
      <c r="W73" s="629">
        <v>0.04</v>
      </c>
      <c r="X73" s="628">
        <v>4.4999999999999998E-2</v>
      </c>
      <c r="Y73" s="629">
        <v>0.02</v>
      </c>
      <c r="Z73" s="630">
        <v>0.4</v>
      </c>
    </row>
    <row r="74" spans="1:26" ht="15" customHeight="1" x14ac:dyDescent="0.2">
      <c r="A74" s="387" t="s">
        <v>24</v>
      </c>
      <c r="B74" s="1254">
        <v>0.17499999999999999</v>
      </c>
      <c r="C74" s="1254">
        <v>8.6999999999999994E-2</v>
      </c>
      <c r="D74" s="1253">
        <v>11</v>
      </c>
      <c r="E74" s="1253">
        <v>6</v>
      </c>
      <c r="F74" s="1253">
        <v>20</v>
      </c>
      <c r="G74" s="1253">
        <v>20</v>
      </c>
      <c r="H74" s="1253">
        <v>20</v>
      </c>
      <c r="I74" s="1253">
        <v>31</v>
      </c>
      <c r="J74" s="1253">
        <v>15</v>
      </c>
      <c r="K74" s="1253">
        <v>40</v>
      </c>
      <c r="L74" s="1254">
        <v>6.0000000000000001E-3</v>
      </c>
      <c r="M74" s="1254">
        <v>0.05</v>
      </c>
      <c r="N74" s="388">
        <v>1</v>
      </c>
      <c r="O74" s="17"/>
      <c r="P74" s="567" t="s">
        <v>207</v>
      </c>
      <c r="Q74" s="585">
        <v>0.184</v>
      </c>
      <c r="R74" s="586">
        <v>7.3999999999999996E-2</v>
      </c>
      <c r="S74" s="585">
        <v>0.13</v>
      </c>
      <c r="T74" s="586">
        <v>0.05</v>
      </c>
      <c r="U74" s="585">
        <v>0.184</v>
      </c>
      <c r="V74" s="587">
        <v>0.09</v>
      </c>
      <c r="W74" s="588">
        <v>0.04</v>
      </c>
      <c r="X74" s="587">
        <v>4.4999999999999998E-2</v>
      </c>
      <c r="Y74" s="588">
        <v>0.02</v>
      </c>
      <c r="Z74" s="596">
        <v>0.4</v>
      </c>
    </row>
    <row r="75" spans="1:26" ht="15" customHeight="1" x14ac:dyDescent="0.2">
      <c r="A75" s="387" t="s">
        <v>25</v>
      </c>
      <c r="B75" s="1254">
        <v>0.14000000000000001</v>
      </c>
      <c r="C75" s="1254">
        <v>7.0000000000000007E-2</v>
      </c>
      <c r="D75" s="1253">
        <v>11</v>
      </c>
      <c r="E75" s="1253">
        <v>6</v>
      </c>
      <c r="F75" s="1253">
        <v>20</v>
      </c>
      <c r="G75" s="1253">
        <v>20</v>
      </c>
      <c r="H75" s="1253">
        <v>20</v>
      </c>
      <c r="I75" s="1253">
        <v>31</v>
      </c>
      <c r="J75" s="1253">
        <v>15</v>
      </c>
      <c r="K75" s="1253">
        <v>40</v>
      </c>
      <c r="L75" s="1254">
        <v>6.0000000000000001E-3</v>
      </c>
      <c r="M75" s="1254">
        <v>0.05</v>
      </c>
      <c r="N75" s="388">
        <v>1</v>
      </c>
      <c r="O75" s="17"/>
      <c r="P75" s="567" t="s">
        <v>208</v>
      </c>
      <c r="Q75" s="585">
        <v>9.7000000000000003E-2</v>
      </c>
      <c r="R75" s="586">
        <v>3.9E-2</v>
      </c>
      <c r="S75" s="585">
        <v>0.13</v>
      </c>
      <c r="T75" s="586">
        <v>0.05</v>
      </c>
      <c r="U75" s="585">
        <v>9.7000000000000003E-2</v>
      </c>
      <c r="V75" s="587">
        <v>0.09</v>
      </c>
      <c r="W75" s="588">
        <v>0.04</v>
      </c>
      <c r="X75" s="587">
        <v>4.4999999999999998E-2</v>
      </c>
      <c r="Y75" s="588">
        <v>0.02</v>
      </c>
      <c r="Z75" s="596">
        <v>0.4</v>
      </c>
    </row>
    <row r="76" spans="1:26" ht="15" customHeight="1" x14ac:dyDescent="0.2">
      <c r="A76" s="387" t="s">
        <v>26</v>
      </c>
      <c r="B76" s="1254">
        <v>0.105</v>
      </c>
      <c r="C76" s="1254">
        <v>5.1999999999999998E-2</v>
      </c>
      <c r="D76" s="1253">
        <v>12</v>
      </c>
      <c r="E76" s="1253">
        <v>7</v>
      </c>
      <c r="F76" s="1253">
        <v>20</v>
      </c>
      <c r="G76" s="1253">
        <v>20</v>
      </c>
      <c r="H76" s="1253">
        <v>20</v>
      </c>
      <c r="I76" s="1253">
        <v>31</v>
      </c>
      <c r="J76" s="1253">
        <v>15</v>
      </c>
      <c r="K76" s="1253">
        <v>40</v>
      </c>
      <c r="L76" s="1254">
        <v>6.0000000000000001E-3</v>
      </c>
      <c r="M76" s="1254">
        <v>0.05</v>
      </c>
      <c r="N76" s="388">
        <v>1</v>
      </c>
      <c r="O76" s="17"/>
      <c r="P76" s="631" t="s">
        <v>209</v>
      </c>
      <c r="Q76" s="619">
        <v>8.4000000000000005E-2</v>
      </c>
      <c r="R76" s="620">
        <v>3.4000000000000002E-2</v>
      </c>
      <c r="S76" s="585">
        <v>0.13</v>
      </c>
      <c r="T76" s="586">
        <v>0.05</v>
      </c>
      <c r="U76" s="619">
        <v>8.4000000000000005E-2</v>
      </c>
      <c r="V76" s="587">
        <v>0.09</v>
      </c>
      <c r="W76" s="588">
        <v>0.04</v>
      </c>
      <c r="X76" s="587">
        <v>4.4999999999999998E-2</v>
      </c>
      <c r="Y76" s="588">
        <v>0.02</v>
      </c>
      <c r="Z76" s="596">
        <v>0.4</v>
      </c>
    </row>
    <row r="77" spans="1:26" ht="15" customHeight="1" x14ac:dyDescent="0.2">
      <c r="A77" s="387" t="s">
        <v>27</v>
      </c>
      <c r="B77" s="1254">
        <v>0.08</v>
      </c>
      <c r="C77" s="1254">
        <v>0.04</v>
      </c>
      <c r="D77" s="1253">
        <v>12</v>
      </c>
      <c r="E77" s="1253">
        <v>7</v>
      </c>
      <c r="F77" s="1253">
        <v>20</v>
      </c>
      <c r="G77" s="1253">
        <v>20</v>
      </c>
      <c r="H77" s="1253">
        <v>20</v>
      </c>
      <c r="I77" s="1253">
        <v>31</v>
      </c>
      <c r="J77" s="1253">
        <v>15</v>
      </c>
      <c r="K77" s="1253">
        <v>40</v>
      </c>
      <c r="L77" s="1254">
        <v>6.0000000000000001E-3</v>
      </c>
      <c r="M77" s="1254">
        <v>0.05</v>
      </c>
      <c r="N77" s="388">
        <v>1</v>
      </c>
      <c r="O77" s="17"/>
      <c r="P77" s="567" t="s">
        <v>210</v>
      </c>
      <c r="Q77" s="585">
        <v>0.10199999999999999</v>
      </c>
      <c r="R77" s="586">
        <v>4.1000000000000002E-2</v>
      </c>
      <c r="S77" s="585">
        <v>0.13</v>
      </c>
      <c r="T77" s="586">
        <v>0.05</v>
      </c>
      <c r="U77" s="585">
        <v>0.10199999999999999</v>
      </c>
      <c r="V77" s="587">
        <v>0.09</v>
      </c>
      <c r="W77" s="588">
        <v>0.04</v>
      </c>
      <c r="X77" s="587">
        <v>4.4999999999999998E-2</v>
      </c>
      <c r="Y77" s="588">
        <v>0.02</v>
      </c>
      <c r="Z77" s="596">
        <v>0.4</v>
      </c>
    </row>
    <row r="78" spans="1:26" ht="15" customHeight="1" thickBot="1" x14ac:dyDescent="0.25">
      <c r="A78" s="1292" t="s">
        <v>28</v>
      </c>
      <c r="B78" s="1279">
        <v>7.0000000000000007E-2</v>
      </c>
      <c r="C78" s="1279">
        <v>3.5000000000000003E-2</v>
      </c>
      <c r="D78" s="575">
        <v>12</v>
      </c>
      <c r="E78" s="575">
        <v>7</v>
      </c>
      <c r="F78" s="575">
        <v>20</v>
      </c>
      <c r="G78" s="575">
        <v>20</v>
      </c>
      <c r="H78" s="575">
        <v>20</v>
      </c>
      <c r="I78" s="575">
        <v>31</v>
      </c>
      <c r="J78" s="575">
        <v>15</v>
      </c>
      <c r="K78" s="575">
        <v>40</v>
      </c>
      <c r="L78" s="1279">
        <v>6.0000000000000001E-3</v>
      </c>
      <c r="M78" s="1279">
        <v>0.05</v>
      </c>
      <c r="N78" s="1293">
        <v>1</v>
      </c>
      <c r="O78" s="17"/>
      <c r="P78" s="567" t="s">
        <v>211</v>
      </c>
      <c r="Q78" s="585">
        <v>8.3000000000000004E-2</v>
      </c>
      <c r="R78" s="586">
        <v>3.3000000000000002E-2</v>
      </c>
      <c r="S78" s="585">
        <v>0.13</v>
      </c>
      <c r="T78" s="586">
        <v>0.05</v>
      </c>
      <c r="U78" s="585">
        <v>8.3000000000000004E-2</v>
      </c>
      <c r="V78" s="587">
        <v>0.09</v>
      </c>
      <c r="W78" s="588">
        <v>0.04</v>
      </c>
      <c r="X78" s="587">
        <v>4.4999999999999998E-2</v>
      </c>
      <c r="Y78" s="588">
        <v>0.02</v>
      </c>
      <c r="Z78" s="596">
        <v>0.4</v>
      </c>
    </row>
    <row r="79" spans="1:26" ht="15" customHeight="1" thickBot="1" x14ac:dyDescent="0.25">
      <c r="A79" s="1264"/>
      <c r="B79" s="1265"/>
      <c r="C79" s="1265"/>
      <c r="D79" s="1264"/>
      <c r="E79" s="1264"/>
      <c r="F79" s="1264"/>
      <c r="G79" s="1264"/>
      <c r="H79" s="1264"/>
      <c r="I79" s="1264"/>
      <c r="J79" s="1264"/>
      <c r="K79" s="1264"/>
      <c r="L79" s="1264"/>
      <c r="M79" s="1264"/>
      <c r="N79" s="1264"/>
      <c r="O79" s="17"/>
      <c r="P79" s="567" t="s">
        <v>212</v>
      </c>
      <c r="Q79" s="585">
        <v>7.5999999999999998E-2</v>
      </c>
      <c r="R79" s="586">
        <v>0.03</v>
      </c>
      <c r="S79" s="585">
        <v>0.13</v>
      </c>
      <c r="T79" s="586">
        <v>0.05</v>
      </c>
      <c r="U79" s="585">
        <v>7.5999999999999998E-2</v>
      </c>
      <c r="V79" s="587">
        <v>0.09</v>
      </c>
      <c r="W79" s="588">
        <v>0.04</v>
      </c>
      <c r="X79" s="587">
        <v>4.4999999999999998E-2</v>
      </c>
      <c r="Y79" s="588">
        <v>0.02</v>
      </c>
      <c r="Z79" s="596">
        <v>0.4</v>
      </c>
    </row>
    <row r="80" spans="1:26" ht="15" customHeight="1" x14ac:dyDescent="0.2">
      <c r="A80" s="1294" t="s">
        <v>37</v>
      </c>
      <c r="B80" s="1280">
        <v>0.313</v>
      </c>
      <c r="C80" s="1280">
        <v>0.156</v>
      </c>
      <c r="D80" s="1270">
        <v>6</v>
      </c>
      <c r="E80" s="1270">
        <v>3</v>
      </c>
      <c r="F80" s="1270">
        <v>30</v>
      </c>
      <c r="G80" s="1270">
        <v>30</v>
      </c>
      <c r="H80" s="1270">
        <v>30</v>
      </c>
      <c r="I80" s="1270">
        <v>23</v>
      </c>
      <c r="J80" s="1270">
        <v>11</v>
      </c>
      <c r="K80" s="1270">
        <v>30</v>
      </c>
      <c r="L80" s="1280">
        <v>8.9999999999999993E-3</v>
      </c>
      <c r="M80" s="1280">
        <v>0.05</v>
      </c>
      <c r="N80" s="1295">
        <v>1</v>
      </c>
      <c r="O80" s="17"/>
      <c r="P80" s="567" t="s">
        <v>213</v>
      </c>
      <c r="Q80" s="585">
        <v>7.1999999999999995E-2</v>
      </c>
      <c r="R80" s="586">
        <v>2.9000000000000001E-2</v>
      </c>
      <c r="S80" s="585">
        <v>0.13</v>
      </c>
      <c r="T80" s="586">
        <v>0.05</v>
      </c>
      <c r="U80" s="585">
        <v>7.1999999999999995E-2</v>
      </c>
      <c r="V80" s="587">
        <v>0.09</v>
      </c>
      <c r="W80" s="588">
        <v>0.04</v>
      </c>
      <c r="X80" s="587">
        <v>4.4999999999999998E-2</v>
      </c>
      <c r="Y80" s="588">
        <v>0.02</v>
      </c>
      <c r="Z80" s="596">
        <v>0.4</v>
      </c>
    </row>
    <row r="81" spans="1:26" ht="15" customHeight="1" x14ac:dyDescent="0.2">
      <c r="A81" s="387" t="s">
        <v>38</v>
      </c>
      <c r="B81" s="1254">
        <v>0.14000000000000001</v>
      </c>
      <c r="C81" s="1254">
        <v>7.0000000000000007E-2</v>
      </c>
      <c r="D81" s="1253">
        <v>7</v>
      </c>
      <c r="E81" s="1253">
        <v>4</v>
      </c>
      <c r="F81" s="1253">
        <v>30</v>
      </c>
      <c r="G81" s="1253">
        <v>30</v>
      </c>
      <c r="H81" s="1253">
        <v>30</v>
      </c>
      <c r="I81" s="1253">
        <v>23</v>
      </c>
      <c r="J81" s="1253">
        <v>11</v>
      </c>
      <c r="K81" s="1253">
        <v>30</v>
      </c>
      <c r="L81" s="1254">
        <v>8.9999999999999993E-3</v>
      </c>
      <c r="M81" s="1254">
        <v>0.05</v>
      </c>
      <c r="N81" s="388">
        <v>1</v>
      </c>
      <c r="O81" s="17"/>
      <c r="P81" s="567" t="s">
        <v>214</v>
      </c>
      <c r="Q81" s="585">
        <v>7.1999999999999995E-2</v>
      </c>
      <c r="R81" s="586">
        <v>2.9000000000000001E-2</v>
      </c>
      <c r="S81" s="585">
        <v>0.13</v>
      </c>
      <c r="T81" s="586">
        <v>0.05</v>
      </c>
      <c r="U81" s="585">
        <v>7.1999999999999995E-2</v>
      </c>
      <c r="V81" s="587">
        <v>0.09</v>
      </c>
      <c r="W81" s="588">
        <v>0.04</v>
      </c>
      <c r="X81" s="587">
        <v>4.4999999999999998E-2</v>
      </c>
      <c r="Y81" s="588">
        <v>0.02</v>
      </c>
      <c r="Z81" s="596">
        <v>0.4</v>
      </c>
    </row>
    <row r="82" spans="1:26" ht="15" customHeight="1" x14ac:dyDescent="0.2">
      <c r="A82" s="387" t="s">
        <v>39</v>
      </c>
      <c r="B82" s="1254">
        <v>0.125</v>
      </c>
      <c r="C82" s="1254">
        <v>6.2E-2</v>
      </c>
      <c r="D82" s="1253">
        <v>7</v>
      </c>
      <c r="E82" s="1253">
        <v>4</v>
      </c>
      <c r="F82" s="1253">
        <v>30</v>
      </c>
      <c r="G82" s="1253">
        <v>30</v>
      </c>
      <c r="H82" s="1253">
        <v>30</v>
      </c>
      <c r="I82" s="1253">
        <v>23</v>
      </c>
      <c r="J82" s="1253">
        <v>11</v>
      </c>
      <c r="K82" s="1253">
        <v>30</v>
      </c>
      <c r="L82" s="1254">
        <v>8.9999999999999993E-3</v>
      </c>
      <c r="M82" s="1254">
        <v>0.05</v>
      </c>
      <c r="N82" s="388">
        <v>1</v>
      </c>
      <c r="O82" s="17"/>
      <c r="P82" s="567" t="s">
        <v>215</v>
      </c>
      <c r="Q82" s="585">
        <v>7.0000000000000007E-2</v>
      </c>
      <c r="R82" s="586">
        <v>2.8000000000000001E-2</v>
      </c>
      <c r="S82" s="585">
        <v>0.13</v>
      </c>
      <c r="T82" s="586">
        <v>0.05</v>
      </c>
      <c r="U82" s="585">
        <v>7.0000000000000007E-2</v>
      </c>
      <c r="V82" s="587">
        <v>0.09</v>
      </c>
      <c r="W82" s="588">
        <v>0.04</v>
      </c>
      <c r="X82" s="587">
        <v>4.4999999999999998E-2</v>
      </c>
      <c r="Y82" s="588">
        <v>0.02</v>
      </c>
      <c r="Z82" s="596">
        <v>0.4</v>
      </c>
    </row>
    <row r="83" spans="1:26" ht="15" customHeight="1" x14ac:dyDescent="0.2">
      <c r="A83" s="387" t="s">
        <v>40</v>
      </c>
      <c r="B83" s="1254">
        <v>0.188</v>
      </c>
      <c r="C83" s="1254">
        <v>9.4E-2</v>
      </c>
      <c r="D83" s="1253">
        <v>8</v>
      </c>
      <c r="E83" s="1253">
        <v>4</v>
      </c>
      <c r="F83" s="1253">
        <v>30</v>
      </c>
      <c r="G83" s="1253">
        <v>30</v>
      </c>
      <c r="H83" s="1253">
        <v>30</v>
      </c>
      <c r="I83" s="1253">
        <v>23</v>
      </c>
      <c r="J83" s="1253">
        <v>11</v>
      </c>
      <c r="K83" s="1253">
        <v>30</v>
      </c>
      <c r="L83" s="1254">
        <v>8.9999999999999993E-3</v>
      </c>
      <c r="M83" s="1254">
        <v>0.05</v>
      </c>
      <c r="N83" s="388">
        <v>1</v>
      </c>
      <c r="O83" s="17"/>
      <c r="P83" s="567" t="s">
        <v>315</v>
      </c>
      <c r="Q83" s="585">
        <v>6.8000000000000005E-2</v>
      </c>
      <c r="R83" s="586">
        <v>2.7E-2</v>
      </c>
      <c r="S83" s="585">
        <v>0.13</v>
      </c>
      <c r="T83" s="586">
        <v>0.05</v>
      </c>
      <c r="U83" s="585">
        <v>6.8000000000000005E-2</v>
      </c>
      <c r="V83" s="587">
        <v>0.09</v>
      </c>
      <c r="W83" s="588">
        <v>0.04</v>
      </c>
      <c r="X83" s="587">
        <v>4.4999999999999998E-2</v>
      </c>
      <c r="Y83" s="588">
        <v>0.02</v>
      </c>
      <c r="Z83" s="596">
        <v>0.4</v>
      </c>
    </row>
    <row r="84" spans="1:26" ht="15" customHeight="1" x14ac:dyDescent="0.2">
      <c r="A84" s="387" t="s">
        <v>41</v>
      </c>
      <c r="B84" s="1254">
        <v>0.14000000000000001</v>
      </c>
      <c r="C84" s="1254">
        <v>7.0000000000000007E-2</v>
      </c>
      <c r="D84" s="1253">
        <v>8</v>
      </c>
      <c r="E84" s="1253">
        <v>4</v>
      </c>
      <c r="F84" s="1253">
        <v>30</v>
      </c>
      <c r="G84" s="1253">
        <v>30</v>
      </c>
      <c r="H84" s="1253">
        <v>30</v>
      </c>
      <c r="I84" s="1253">
        <v>23</v>
      </c>
      <c r="J84" s="1253">
        <v>11</v>
      </c>
      <c r="K84" s="1253">
        <v>30</v>
      </c>
      <c r="L84" s="1254">
        <v>8.9999999999999993E-3</v>
      </c>
      <c r="M84" s="1254">
        <v>0.05</v>
      </c>
      <c r="N84" s="388">
        <v>1</v>
      </c>
      <c r="O84" s="17"/>
      <c r="P84" s="567" t="s">
        <v>316</v>
      </c>
      <c r="Q84" s="585">
        <v>6.5000000000000002E-2</v>
      </c>
      <c r="R84" s="586">
        <v>2.5999999999999999E-2</v>
      </c>
      <c r="S84" s="585">
        <v>0.13</v>
      </c>
      <c r="T84" s="586">
        <v>0.05</v>
      </c>
      <c r="U84" s="585">
        <v>6.5000000000000002E-2</v>
      </c>
      <c r="V84" s="587">
        <v>0.09</v>
      </c>
      <c r="W84" s="588">
        <v>0.04</v>
      </c>
      <c r="X84" s="587">
        <v>4.4999999999999998E-2</v>
      </c>
      <c r="Y84" s="588">
        <v>0.02</v>
      </c>
      <c r="Z84" s="596">
        <v>0.4</v>
      </c>
    </row>
    <row r="85" spans="1:26" ht="15" customHeight="1" thickBot="1" x14ac:dyDescent="0.25">
      <c r="A85" s="387" t="s">
        <v>42</v>
      </c>
      <c r="B85" s="1254">
        <v>0.105</v>
      </c>
      <c r="C85" s="1254">
        <v>5.1999999999999998E-2</v>
      </c>
      <c r="D85" s="1253">
        <v>9</v>
      </c>
      <c r="E85" s="1253">
        <v>5</v>
      </c>
      <c r="F85" s="1253">
        <v>30</v>
      </c>
      <c r="G85" s="1253">
        <v>30</v>
      </c>
      <c r="H85" s="1253">
        <v>30</v>
      </c>
      <c r="I85" s="1253">
        <v>23</v>
      </c>
      <c r="J85" s="1253">
        <v>11</v>
      </c>
      <c r="K85" s="1253">
        <v>30</v>
      </c>
      <c r="L85" s="1254">
        <v>8.9999999999999993E-3</v>
      </c>
      <c r="M85" s="1254">
        <v>0.05</v>
      </c>
      <c r="N85" s="388">
        <v>1</v>
      </c>
      <c r="O85" s="17"/>
      <c r="P85" s="573" t="s">
        <v>216</v>
      </c>
      <c r="Q85" s="589">
        <v>0.06</v>
      </c>
      <c r="R85" s="590">
        <v>2.4E-2</v>
      </c>
      <c r="S85" s="589">
        <v>0.13</v>
      </c>
      <c r="T85" s="590">
        <v>0.05</v>
      </c>
      <c r="U85" s="589">
        <v>0.06</v>
      </c>
      <c r="V85" s="591">
        <v>0.09</v>
      </c>
      <c r="W85" s="592">
        <v>0.04</v>
      </c>
      <c r="X85" s="591">
        <v>4.4999999999999998E-2</v>
      </c>
      <c r="Y85" s="592">
        <v>0.02</v>
      </c>
      <c r="Z85" s="624">
        <v>0.4</v>
      </c>
    </row>
    <row r="86" spans="1:26" ht="15" customHeight="1" thickBot="1" x14ac:dyDescent="0.25">
      <c r="A86" s="387" t="s">
        <v>43</v>
      </c>
      <c r="B86" s="1254">
        <v>8.5000000000000006E-2</v>
      </c>
      <c r="C86" s="1254">
        <v>4.2000000000000003E-2</v>
      </c>
      <c r="D86" s="1253">
        <v>9</v>
      </c>
      <c r="E86" s="1253">
        <v>5</v>
      </c>
      <c r="F86" s="1253">
        <v>30</v>
      </c>
      <c r="G86" s="1253">
        <v>30</v>
      </c>
      <c r="H86" s="1253">
        <v>30</v>
      </c>
      <c r="I86" s="1253">
        <v>23</v>
      </c>
      <c r="J86" s="1253">
        <v>11</v>
      </c>
      <c r="K86" s="1253">
        <v>30</v>
      </c>
      <c r="L86" s="1254">
        <v>8.9999999999999993E-3</v>
      </c>
      <c r="M86" s="1254">
        <v>0.05</v>
      </c>
      <c r="N86" s="388">
        <v>1</v>
      </c>
      <c r="O86" s="17"/>
      <c r="P86" s="632"/>
      <c r="Q86" s="633"/>
      <c r="R86" s="633"/>
      <c r="S86" s="633"/>
      <c r="T86" s="633"/>
      <c r="U86" s="633"/>
      <c r="V86" s="635"/>
      <c r="W86" s="635"/>
      <c r="X86" s="635"/>
      <c r="Y86" s="635"/>
      <c r="Z86" s="634"/>
    </row>
    <row r="87" spans="1:26" ht="15" customHeight="1" thickBot="1" x14ac:dyDescent="0.25">
      <c r="A87" s="1292" t="s">
        <v>44</v>
      </c>
      <c r="B87" s="1279">
        <v>7.2999999999999995E-2</v>
      </c>
      <c r="C87" s="1279">
        <v>3.5999999999999997E-2</v>
      </c>
      <c r="D87" s="575">
        <v>9</v>
      </c>
      <c r="E87" s="575">
        <v>5</v>
      </c>
      <c r="F87" s="575">
        <v>30</v>
      </c>
      <c r="G87" s="575">
        <v>30</v>
      </c>
      <c r="H87" s="575">
        <v>30</v>
      </c>
      <c r="I87" s="575">
        <v>23</v>
      </c>
      <c r="J87" s="575">
        <v>11</v>
      </c>
      <c r="K87" s="575">
        <v>30</v>
      </c>
      <c r="L87" s="1279">
        <v>8.9999999999999993E-3</v>
      </c>
      <c r="M87" s="1279">
        <v>0.05</v>
      </c>
      <c r="N87" s="1293">
        <v>1</v>
      </c>
      <c r="O87" s="17"/>
      <c r="P87" s="625" t="s">
        <v>218</v>
      </c>
      <c r="Q87" s="626">
        <v>0.13500000000000001</v>
      </c>
      <c r="R87" s="627">
        <v>5.3999999999999999E-2</v>
      </c>
      <c r="S87" s="626">
        <v>0.12</v>
      </c>
      <c r="T87" s="627">
        <v>0.04</v>
      </c>
      <c r="U87" s="626">
        <v>0.13500000000000001</v>
      </c>
      <c r="V87" s="628">
        <v>0.08</v>
      </c>
      <c r="W87" s="629">
        <v>0.04</v>
      </c>
      <c r="X87" s="628">
        <v>0.05</v>
      </c>
      <c r="Y87" s="629">
        <v>0.02</v>
      </c>
      <c r="Z87" s="630">
        <v>0.4</v>
      </c>
    </row>
    <row r="88" spans="1:26" ht="15" customHeight="1" thickBot="1" x14ac:dyDescent="0.25">
      <c r="A88" s="1290"/>
      <c r="B88" s="1289"/>
      <c r="C88" s="1289"/>
      <c r="D88" s="1290"/>
      <c r="E88" s="1290"/>
      <c r="F88" s="1290"/>
      <c r="G88" s="1290"/>
      <c r="H88" s="1290"/>
      <c r="I88" s="1290"/>
      <c r="J88" s="1290"/>
      <c r="K88" s="1291"/>
      <c r="L88" s="1291"/>
      <c r="M88" s="1291"/>
      <c r="N88" s="1290"/>
      <c r="O88" s="17"/>
      <c r="P88" s="567" t="s">
        <v>219</v>
      </c>
      <c r="Q88" s="585">
        <v>0.108</v>
      </c>
      <c r="R88" s="586">
        <v>4.2999999999999997E-2</v>
      </c>
      <c r="S88" s="585">
        <v>0.12</v>
      </c>
      <c r="T88" s="586">
        <v>0.04</v>
      </c>
      <c r="U88" s="585">
        <v>0.108</v>
      </c>
      <c r="V88" s="587">
        <v>0.08</v>
      </c>
      <c r="W88" s="588">
        <v>0.04</v>
      </c>
      <c r="X88" s="587">
        <v>0.05</v>
      </c>
      <c r="Y88" s="588">
        <v>0.02</v>
      </c>
      <c r="Z88" s="596">
        <v>0.4</v>
      </c>
    </row>
    <row r="89" spans="1:26" ht="15" customHeight="1" x14ac:dyDescent="0.2">
      <c r="A89" s="1296" t="s">
        <v>329</v>
      </c>
      <c r="B89" s="1297">
        <v>6.3E-2</v>
      </c>
      <c r="C89" s="1297">
        <v>3.1E-2</v>
      </c>
      <c r="D89" s="1298"/>
      <c r="E89" s="1298"/>
      <c r="F89" s="1298"/>
      <c r="G89" s="1298"/>
      <c r="H89" s="1298"/>
      <c r="I89" s="1298"/>
      <c r="J89" s="1298"/>
      <c r="K89" s="1299"/>
      <c r="L89" s="1299"/>
      <c r="M89" s="1299"/>
      <c r="N89" s="1300">
        <v>0</v>
      </c>
      <c r="O89" s="17"/>
      <c r="P89" s="567" t="s">
        <v>220</v>
      </c>
      <c r="Q89" s="585">
        <v>0.113</v>
      </c>
      <c r="R89" s="586">
        <v>4.4999999999999998E-2</v>
      </c>
      <c r="S89" s="585">
        <v>0.12</v>
      </c>
      <c r="T89" s="586">
        <v>0.04</v>
      </c>
      <c r="U89" s="585">
        <v>0.113</v>
      </c>
      <c r="V89" s="587">
        <v>0.08</v>
      </c>
      <c r="W89" s="588">
        <v>0.04</v>
      </c>
      <c r="X89" s="587">
        <v>0.05</v>
      </c>
      <c r="Y89" s="588">
        <v>0.02</v>
      </c>
      <c r="Z89" s="596">
        <v>0.4</v>
      </c>
    </row>
    <row r="90" spans="1:26" ht="15" customHeight="1" x14ac:dyDescent="0.2">
      <c r="P90" s="567" t="s">
        <v>221</v>
      </c>
      <c r="Q90" s="585">
        <v>5.3999999999999999E-2</v>
      </c>
      <c r="R90" s="586">
        <v>2.1999999999999999E-2</v>
      </c>
      <c r="S90" s="585">
        <v>0.12</v>
      </c>
      <c r="T90" s="586">
        <v>0.04</v>
      </c>
      <c r="U90" s="585">
        <v>5.3999999999999999E-2</v>
      </c>
      <c r="V90" s="587">
        <v>0.08</v>
      </c>
      <c r="W90" s="588">
        <v>0.04</v>
      </c>
      <c r="X90" s="587">
        <v>0.05</v>
      </c>
      <c r="Y90" s="588">
        <v>0.02</v>
      </c>
      <c r="Z90" s="596">
        <v>0.4</v>
      </c>
    </row>
    <row r="91" spans="1:26" s="822" customFormat="1" ht="15" customHeight="1" x14ac:dyDescent="0.25">
      <c r="A91" s="833" t="s">
        <v>324</v>
      </c>
      <c r="B91" s="834" t="s">
        <v>1</v>
      </c>
      <c r="C91" s="834" t="s">
        <v>656</v>
      </c>
      <c r="D91" s="834" t="s">
        <v>643</v>
      </c>
      <c r="E91" s="834" t="s">
        <v>644</v>
      </c>
      <c r="F91" s="834" t="s">
        <v>4</v>
      </c>
      <c r="G91" s="834" t="s">
        <v>557</v>
      </c>
      <c r="H91" s="834" t="s">
        <v>655</v>
      </c>
      <c r="I91" s="834" t="s">
        <v>654</v>
      </c>
      <c r="J91" s="834" t="s">
        <v>50</v>
      </c>
      <c r="K91" s="835" t="s">
        <v>657</v>
      </c>
      <c r="L91" s="845"/>
      <c r="M91" s="845"/>
      <c r="P91" s="567" t="s">
        <v>222</v>
      </c>
      <c r="Q91" s="585">
        <v>6.4000000000000001E-2</v>
      </c>
      <c r="R91" s="586">
        <v>2.4E-2</v>
      </c>
      <c r="S91" s="585">
        <v>0.12</v>
      </c>
      <c r="T91" s="586">
        <v>0.04</v>
      </c>
      <c r="U91" s="585">
        <v>6.4000000000000001E-2</v>
      </c>
      <c r="V91" s="587">
        <v>0.08</v>
      </c>
      <c r="W91" s="588">
        <v>0.04</v>
      </c>
      <c r="X91" s="587">
        <v>0.05</v>
      </c>
      <c r="Y91" s="588">
        <v>0.02</v>
      </c>
      <c r="Z91" s="596">
        <v>0.4</v>
      </c>
    </row>
    <row r="92" spans="1:26" ht="15" customHeight="1" x14ac:dyDescent="0.2">
      <c r="A92" s="825" t="s">
        <v>357</v>
      </c>
      <c r="B92" s="826">
        <v>0.35599999999999998</v>
      </c>
      <c r="C92" s="826">
        <v>0.14199999999999999</v>
      </c>
      <c r="D92" s="824">
        <v>30</v>
      </c>
      <c r="E92" s="824">
        <v>30</v>
      </c>
      <c r="F92" s="824">
        <v>30</v>
      </c>
      <c r="G92" s="824">
        <v>35</v>
      </c>
      <c r="H92" s="842">
        <v>0.03</v>
      </c>
      <c r="I92" s="824">
        <v>50</v>
      </c>
      <c r="J92" s="842">
        <v>0.02</v>
      </c>
      <c r="K92" s="843">
        <v>0.02</v>
      </c>
      <c r="L92" s="823"/>
      <c r="M92" s="844"/>
      <c r="P92" s="567" t="s">
        <v>223</v>
      </c>
      <c r="Q92" s="585">
        <v>4.1000000000000002E-2</v>
      </c>
      <c r="R92" s="586">
        <v>1.6E-2</v>
      </c>
      <c r="S92" s="585">
        <v>0.12</v>
      </c>
      <c r="T92" s="586">
        <v>0.04</v>
      </c>
      <c r="U92" s="585">
        <v>4.1000000000000002E-2</v>
      </c>
      <c r="V92" s="587">
        <v>0.08</v>
      </c>
      <c r="W92" s="588">
        <v>0.04</v>
      </c>
      <c r="X92" s="587">
        <v>0.05</v>
      </c>
      <c r="Y92" s="588">
        <v>0.02</v>
      </c>
      <c r="Z92" s="596">
        <v>0.4</v>
      </c>
    </row>
    <row r="93" spans="1:26" ht="15" customHeight="1" x14ac:dyDescent="0.2">
      <c r="A93" s="825" t="s">
        <v>358</v>
      </c>
      <c r="B93" s="826"/>
      <c r="C93" s="826"/>
      <c r="D93" s="827">
        <v>30</v>
      </c>
      <c r="E93" s="827">
        <v>30</v>
      </c>
      <c r="F93" s="827">
        <v>30</v>
      </c>
      <c r="G93" s="827">
        <v>35</v>
      </c>
      <c r="H93" s="842">
        <v>0.03</v>
      </c>
      <c r="I93" s="827">
        <v>50</v>
      </c>
      <c r="J93" s="826">
        <v>0.02</v>
      </c>
      <c r="K93" s="828">
        <v>0.02</v>
      </c>
      <c r="L93" s="823"/>
      <c r="M93" s="844"/>
      <c r="P93" s="567" t="s">
        <v>224</v>
      </c>
      <c r="Q93" s="585">
        <v>4.9000000000000002E-2</v>
      </c>
      <c r="R93" s="586">
        <v>0.02</v>
      </c>
      <c r="S93" s="585">
        <v>0.12</v>
      </c>
      <c r="T93" s="586">
        <v>0.04</v>
      </c>
      <c r="U93" s="585">
        <v>4.9000000000000002E-2</v>
      </c>
      <c r="V93" s="587">
        <v>0.08</v>
      </c>
      <c r="W93" s="588">
        <v>0.04</v>
      </c>
      <c r="X93" s="587">
        <v>0.05</v>
      </c>
      <c r="Y93" s="588">
        <v>0.02</v>
      </c>
      <c r="Z93" s="596">
        <v>0.4</v>
      </c>
    </row>
    <row r="94" spans="1:26" ht="15" customHeight="1" x14ac:dyDescent="0.2">
      <c r="A94" s="825" t="s">
        <v>359</v>
      </c>
      <c r="B94" s="826"/>
      <c r="C94" s="826"/>
      <c r="D94" s="827">
        <v>30</v>
      </c>
      <c r="E94" s="827">
        <v>30</v>
      </c>
      <c r="F94" s="827">
        <v>30</v>
      </c>
      <c r="G94" s="827">
        <v>35</v>
      </c>
      <c r="H94" s="842">
        <v>0.03</v>
      </c>
      <c r="I94" s="827">
        <v>50</v>
      </c>
      <c r="J94" s="826">
        <v>0.02</v>
      </c>
      <c r="K94" s="828">
        <v>0.02</v>
      </c>
      <c r="L94" s="823"/>
      <c r="M94" s="844"/>
      <c r="P94" s="567" t="s">
        <v>225</v>
      </c>
      <c r="Q94" s="585">
        <v>6.4000000000000001E-2</v>
      </c>
      <c r="R94" s="586">
        <v>2.5999999999999999E-2</v>
      </c>
      <c r="S94" s="585">
        <v>0.12</v>
      </c>
      <c r="T94" s="586">
        <v>0.04</v>
      </c>
      <c r="U94" s="585">
        <v>6.4000000000000001E-2</v>
      </c>
      <c r="V94" s="587">
        <v>0.08</v>
      </c>
      <c r="W94" s="588">
        <v>0.04</v>
      </c>
      <c r="X94" s="587">
        <v>0.05</v>
      </c>
      <c r="Y94" s="588">
        <v>0.02</v>
      </c>
      <c r="Z94" s="596">
        <v>0.4</v>
      </c>
    </row>
    <row r="95" spans="1:26" ht="15" customHeight="1" x14ac:dyDescent="0.2">
      <c r="A95" s="825" t="s">
        <v>360</v>
      </c>
      <c r="B95" s="826">
        <v>0.106</v>
      </c>
      <c r="C95" s="826"/>
      <c r="D95" s="827">
        <v>30</v>
      </c>
      <c r="E95" s="827">
        <v>30</v>
      </c>
      <c r="F95" s="827">
        <v>30</v>
      </c>
      <c r="G95" s="827">
        <v>35</v>
      </c>
      <c r="H95" s="842">
        <v>0.03</v>
      </c>
      <c r="I95" s="827">
        <v>50</v>
      </c>
      <c r="J95" s="826">
        <v>0.02</v>
      </c>
      <c r="K95" s="828">
        <v>0.02</v>
      </c>
      <c r="L95" s="823"/>
      <c r="M95" s="844"/>
      <c r="P95" s="567" t="s">
        <v>226</v>
      </c>
      <c r="Q95" s="585">
        <v>7.0999999999999994E-2</v>
      </c>
      <c r="R95" s="586">
        <v>2.7E-2</v>
      </c>
      <c r="S95" s="585">
        <v>0.12</v>
      </c>
      <c r="T95" s="586">
        <v>0.04</v>
      </c>
      <c r="U95" s="585">
        <v>7.0999999999999994E-2</v>
      </c>
      <c r="V95" s="587">
        <v>0.08</v>
      </c>
      <c r="W95" s="588">
        <v>0.04</v>
      </c>
      <c r="X95" s="587">
        <v>0.05</v>
      </c>
      <c r="Y95" s="588">
        <v>0.02</v>
      </c>
      <c r="Z95" s="596">
        <v>0.4</v>
      </c>
    </row>
    <row r="96" spans="1:26" ht="15" customHeight="1" x14ac:dyDescent="0.2">
      <c r="A96" s="825" t="s">
        <v>361</v>
      </c>
      <c r="B96" s="826"/>
      <c r="C96" s="826"/>
      <c r="D96" s="827">
        <v>30</v>
      </c>
      <c r="E96" s="827">
        <v>30</v>
      </c>
      <c r="F96" s="827">
        <v>30</v>
      </c>
      <c r="G96" s="827">
        <v>35</v>
      </c>
      <c r="H96" s="842">
        <v>0.03</v>
      </c>
      <c r="I96" s="827">
        <v>50</v>
      </c>
      <c r="J96" s="826">
        <v>0.02</v>
      </c>
      <c r="K96" s="828">
        <v>0.02</v>
      </c>
      <c r="L96" s="823"/>
      <c r="M96" s="844"/>
      <c r="P96" s="567" t="s">
        <v>227</v>
      </c>
      <c r="Q96" s="585">
        <v>5.3999999999999999E-2</v>
      </c>
      <c r="R96" s="586">
        <v>2.1999999999999999E-2</v>
      </c>
      <c r="S96" s="585">
        <v>0.12</v>
      </c>
      <c r="T96" s="586">
        <v>0.04</v>
      </c>
      <c r="U96" s="585">
        <v>5.3999999999999999E-2</v>
      </c>
      <c r="V96" s="587">
        <v>0.08</v>
      </c>
      <c r="W96" s="588">
        <v>0.04</v>
      </c>
      <c r="X96" s="587">
        <v>0.05</v>
      </c>
      <c r="Y96" s="588">
        <v>0.02</v>
      </c>
      <c r="Z96" s="596">
        <v>0.4</v>
      </c>
    </row>
    <row r="97" spans="1:26" ht="15" customHeight="1" x14ac:dyDescent="0.2">
      <c r="A97" s="825" t="s">
        <v>362</v>
      </c>
      <c r="B97" s="826"/>
      <c r="C97" s="826"/>
      <c r="D97" s="827">
        <v>30</v>
      </c>
      <c r="E97" s="827">
        <v>30</v>
      </c>
      <c r="F97" s="827">
        <v>30</v>
      </c>
      <c r="G97" s="827">
        <v>35</v>
      </c>
      <c r="H97" s="842">
        <v>0.03</v>
      </c>
      <c r="I97" s="827">
        <v>50</v>
      </c>
      <c r="J97" s="826">
        <v>0.02</v>
      </c>
      <c r="K97" s="828">
        <v>0.02</v>
      </c>
      <c r="L97" s="823"/>
      <c r="M97" s="844"/>
      <c r="P97" s="567" t="s">
        <v>228</v>
      </c>
      <c r="Q97" s="585">
        <v>6.0999999999999999E-2</v>
      </c>
      <c r="R97" s="586">
        <v>2.4E-2</v>
      </c>
      <c r="S97" s="585">
        <v>0.12</v>
      </c>
      <c r="T97" s="586">
        <v>0.04</v>
      </c>
      <c r="U97" s="585">
        <v>6.0999999999999999E-2</v>
      </c>
      <c r="V97" s="587">
        <v>0.08</v>
      </c>
      <c r="W97" s="588">
        <v>0.04</v>
      </c>
      <c r="X97" s="587">
        <v>0.05</v>
      </c>
      <c r="Y97" s="588">
        <v>0.02</v>
      </c>
      <c r="Z97" s="596">
        <v>0.4</v>
      </c>
    </row>
    <row r="98" spans="1:26" ht="15" customHeight="1" x14ac:dyDescent="0.2">
      <c r="A98" s="829" t="s">
        <v>363</v>
      </c>
      <c r="B98" s="830"/>
      <c r="C98" s="830"/>
      <c r="D98" s="831">
        <v>30</v>
      </c>
      <c r="E98" s="831">
        <v>30</v>
      </c>
      <c r="F98" s="831">
        <v>30</v>
      </c>
      <c r="G98" s="831">
        <v>35</v>
      </c>
      <c r="H98" s="842">
        <v>0.03</v>
      </c>
      <c r="I98" s="831">
        <v>50</v>
      </c>
      <c r="J98" s="830">
        <v>0.02</v>
      </c>
      <c r="K98" s="832">
        <v>0.02</v>
      </c>
      <c r="L98" s="823"/>
      <c r="M98" s="844"/>
      <c r="P98" s="567" t="s">
        <v>229</v>
      </c>
      <c r="Q98" s="585">
        <v>0.06</v>
      </c>
      <c r="R98" s="586">
        <v>2.4E-2</v>
      </c>
      <c r="S98" s="585">
        <v>0.12</v>
      </c>
      <c r="T98" s="586">
        <v>0.04</v>
      </c>
      <c r="U98" s="585">
        <v>0.06</v>
      </c>
      <c r="V98" s="587">
        <v>0.08</v>
      </c>
      <c r="W98" s="588">
        <v>0.04</v>
      </c>
      <c r="X98" s="587">
        <v>0.05</v>
      </c>
      <c r="Y98" s="588">
        <v>0.02</v>
      </c>
      <c r="Z98" s="596">
        <v>0.4</v>
      </c>
    </row>
    <row r="99" spans="1:26" ht="15" customHeight="1" x14ac:dyDescent="0.2">
      <c r="A99" s="822"/>
      <c r="B99" s="823"/>
      <c r="C99" s="823"/>
      <c r="D99" s="822"/>
      <c r="E99" s="822"/>
      <c r="F99" s="822"/>
      <c r="G99" s="822"/>
      <c r="H99" s="822"/>
      <c r="I99" s="822"/>
      <c r="J99" s="822"/>
      <c r="K99" s="822"/>
      <c r="L99" s="823"/>
      <c r="P99" s="567" t="s">
        <v>230</v>
      </c>
      <c r="Q99" s="585">
        <v>6.7000000000000004E-2</v>
      </c>
      <c r="R99" s="586">
        <v>2.7E-2</v>
      </c>
      <c r="S99" s="585">
        <v>0.12</v>
      </c>
      <c r="T99" s="586">
        <v>0.04</v>
      </c>
      <c r="U99" s="585">
        <v>6.7000000000000004E-2</v>
      </c>
      <c r="V99" s="587">
        <v>0.08</v>
      </c>
      <c r="W99" s="588">
        <v>0.04</v>
      </c>
      <c r="X99" s="587">
        <v>0.05</v>
      </c>
      <c r="Y99" s="588">
        <v>0.02</v>
      </c>
      <c r="Z99" s="596">
        <v>0.4</v>
      </c>
    </row>
    <row r="100" spans="1:26" ht="15" customHeight="1" x14ac:dyDescent="0.2">
      <c r="A100" s="822"/>
      <c r="B100" s="823"/>
      <c r="C100" s="823"/>
      <c r="D100" s="822"/>
      <c r="E100" s="822"/>
      <c r="F100" s="822"/>
      <c r="G100" s="822"/>
      <c r="H100" s="822"/>
      <c r="I100" s="822"/>
      <c r="J100" s="822"/>
      <c r="P100" s="567" t="s">
        <v>231</v>
      </c>
      <c r="Q100" s="585">
        <v>0.06</v>
      </c>
      <c r="R100" s="586">
        <v>2.4E-2</v>
      </c>
      <c r="S100" s="585">
        <v>0.12</v>
      </c>
      <c r="T100" s="586">
        <v>0.04</v>
      </c>
      <c r="U100" s="585">
        <v>0.06</v>
      </c>
      <c r="V100" s="587">
        <v>0.08</v>
      </c>
      <c r="W100" s="588">
        <v>0.04</v>
      </c>
      <c r="X100" s="587">
        <v>0.05</v>
      </c>
      <c r="Y100" s="588">
        <v>0.02</v>
      </c>
      <c r="Z100" s="596">
        <v>0.4</v>
      </c>
    </row>
    <row r="101" spans="1:26" ht="15" customHeight="1" x14ac:dyDescent="0.2">
      <c r="P101" s="567" t="s">
        <v>232</v>
      </c>
      <c r="Q101" s="585">
        <v>6.8000000000000005E-2</v>
      </c>
      <c r="R101" s="586">
        <v>2.7E-2</v>
      </c>
      <c r="S101" s="585">
        <v>0.12</v>
      </c>
      <c r="T101" s="586">
        <v>0.04</v>
      </c>
      <c r="U101" s="585">
        <v>6.8000000000000005E-2</v>
      </c>
      <c r="V101" s="587">
        <v>0.08</v>
      </c>
      <c r="W101" s="588">
        <v>0.04</v>
      </c>
      <c r="X101" s="587">
        <v>0.05</v>
      </c>
      <c r="Y101" s="588">
        <v>0.02</v>
      </c>
      <c r="Z101" s="596">
        <v>0.4</v>
      </c>
    </row>
    <row r="102" spans="1:26" ht="15" customHeight="1" x14ac:dyDescent="0.2">
      <c r="P102" s="567" t="s">
        <v>233</v>
      </c>
      <c r="Q102" s="585">
        <v>5.8999999999999997E-2</v>
      </c>
      <c r="R102" s="586">
        <v>2.4E-2</v>
      </c>
      <c r="S102" s="585">
        <v>0.12</v>
      </c>
      <c r="T102" s="586">
        <v>0.04</v>
      </c>
      <c r="U102" s="585">
        <v>5.8999999999999997E-2</v>
      </c>
      <c r="V102" s="587">
        <v>0.08</v>
      </c>
      <c r="W102" s="588">
        <v>0.04</v>
      </c>
      <c r="X102" s="587">
        <v>0.05</v>
      </c>
      <c r="Y102" s="588">
        <v>0.02</v>
      </c>
      <c r="Z102" s="596">
        <v>0.4</v>
      </c>
    </row>
    <row r="103" spans="1:26" ht="15" customHeight="1" x14ac:dyDescent="0.2">
      <c r="P103" s="567" t="s">
        <v>234</v>
      </c>
      <c r="Q103" s="585">
        <v>6.4000000000000001E-2</v>
      </c>
      <c r="R103" s="586">
        <v>2.4E-2</v>
      </c>
      <c r="S103" s="585">
        <v>0.12</v>
      </c>
      <c r="T103" s="586">
        <v>0.04</v>
      </c>
      <c r="U103" s="585">
        <v>6.4000000000000001E-2</v>
      </c>
      <c r="V103" s="587">
        <v>0.08</v>
      </c>
      <c r="W103" s="588">
        <v>0.04</v>
      </c>
      <c r="X103" s="587">
        <v>0.05</v>
      </c>
      <c r="Y103" s="588">
        <v>0.02</v>
      </c>
      <c r="Z103" s="596">
        <v>0.4</v>
      </c>
    </row>
    <row r="104" spans="1:26" ht="15" customHeight="1" x14ac:dyDescent="0.2">
      <c r="P104" s="567" t="s">
        <v>235</v>
      </c>
      <c r="Q104" s="585">
        <v>5.8999999999999997E-2</v>
      </c>
      <c r="R104" s="586">
        <v>2.4E-2</v>
      </c>
      <c r="S104" s="585">
        <v>0.12</v>
      </c>
      <c r="T104" s="586">
        <v>0.04</v>
      </c>
      <c r="U104" s="585">
        <v>5.8999999999999997E-2</v>
      </c>
      <c r="V104" s="587">
        <v>0.08</v>
      </c>
      <c r="W104" s="588">
        <v>0.04</v>
      </c>
      <c r="X104" s="587">
        <v>0.05</v>
      </c>
      <c r="Y104" s="588">
        <v>0.02</v>
      </c>
      <c r="Z104" s="596">
        <v>0.4</v>
      </c>
    </row>
    <row r="105" spans="1:26" ht="15" customHeight="1" x14ac:dyDescent="0.2">
      <c r="P105" s="567" t="s">
        <v>236</v>
      </c>
      <c r="Q105" s="585">
        <v>6.4000000000000001E-2</v>
      </c>
      <c r="R105" s="586">
        <v>2.4E-2</v>
      </c>
      <c r="S105" s="585">
        <v>0.12</v>
      </c>
      <c r="T105" s="586">
        <v>0.04</v>
      </c>
      <c r="U105" s="585">
        <v>6.4000000000000001E-2</v>
      </c>
      <c r="V105" s="587">
        <v>0.08</v>
      </c>
      <c r="W105" s="588">
        <v>0.04</v>
      </c>
      <c r="X105" s="587">
        <v>0.05</v>
      </c>
      <c r="Y105" s="588">
        <v>0.02</v>
      </c>
      <c r="Z105" s="596">
        <v>0.4</v>
      </c>
    </row>
    <row r="106" spans="1:26" ht="15" customHeight="1" x14ac:dyDescent="0.2">
      <c r="P106" s="567" t="s">
        <v>304</v>
      </c>
      <c r="Q106" s="585">
        <v>4.9000000000000002E-2</v>
      </c>
      <c r="R106" s="586">
        <v>0.02</v>
      </c>
      <c r="S106" s="585">
        <v>0.12</v>
      </c>
      <c r="T106" s="586">
        <v>0.04</v>
      </c>
      <c r="U106" s="585">
        <v>4.9000000000000002E-2</v>
      </c>
      <c r="V106" s="587">
        <v>0.08</v>
      </c>
      <c r="W106" s="588">
        <v>0.04</v>
      </c>
      <c r="X106" s="587">
        <v>0.05</v>
      </c>
      <c r="Y106" s="588">
        <v>0.02</v>
      </c>
      <c r="Z106" s="596">
        <v>0.4</v>
      </c>
    </row>
    <row r="107" spans="1:26" ht="15" customHeight="1" x14ac:dyDescent="0.2">
      <c r="P107" s="567" t="s">
        <v>237</v>
      </c>
      <c r="Q107" s="585">
        <v>5.3999999999999999E-2</v>
      </c>
      <c r="R107" s="586">
        <v>2.1999999999999999E-2</v>
      </c>
      <c r="S107" s="585">
        <v>0.12</v>
      </c>
      <c r="T107" s="586">
        <v>0.04</v>
      </c>
      <c r="U107" s="585">
        <v>5.3999999999999999E-2</v>
      </c>
      <c r="V107" s="587">
        <v>0.08</v>
      </c>
      <c r="W107" s="588">
        <v>0.04</v>
      </c>
      <c r="X107" s="587">
        <v>0.05</v>
      </c>
      <c r="Y107" s="588">
        <v>0.02</v>
      </c>
      <c r="Z107" s="596">
        <v>0.4</v>
      </c>
    </row>
    <row r="108" spans="1:26" ht="15" customHeight="1" x14ac:dyDescent="0.2">
      <c r="P108" s="631" t="s">
        <v>303</v>
      </c>
      <c r="Q108" s="619">
        <v>4.3999999999999997E-2</v>
      </c>
      <c r="R108" s="620">
        <v>1.7999999999999999E-2</v>
      </c>
      <c r="S108" s="585">
        <v>0.12</v>
      </c>
      <c r="T108" s="586">
        <v>0.04</v>
      </c>
      <c r="U108" s="619">
        <v>4.3999999999999997E-2</v>
      </c>
      <c r="V108" s="587">
        <v>0.08</v>
      </c>
      <c r="W108" s="588">
        <v>0.04</v>
      </c>
      <c r="X108" s="587">
        <v>0.05</v>
      </c>
      <c r="Y108" s="588">
        <v>0.02</v>
      </c>
      <c r="Z108" s="596">
        <v>0.4</v>
      </c>
    </row>
    <row r="109" spans="1:26" ht="15" customHeight="1" x14ac:dyDescent="0.2">
      <c r="P109" s="567" t="s">
        <v>302</v>
      </c>
      <c r="Q109" s="585">
        <v>4.9000000000000002E-2</v>
      </c>
      <c r="R109" s="586">
        <v>0.02</v>
      </c>
      <c r="S109" s="585">
        <v>0.12</v>
      </c>
      <c r="T109" s="586">
        <v>0.04</v>
      </c>
      <c r="U109" s="585">
        <v>4.9000000000000002E-2</v>
      </c>
      <c r="V109" s="587">
        <v>0.08</v>
      </c>
      <c r="W109" s="588">
        <v>0.04</v>
      </c>
      <c r="X109" s="587">
        <v>0.05</v>
      </c>
      <c r="Y109" s="588">
        <v>0.02</v>
      </c>
      <c r="Z109" s="596">
        <v>0.4</v>
      </c>
    </row>
    <row r="110" spans="1:26" ht="15" customHeight="1" x14ac:dyDescent="0.2">
      <c r="P110" s="567" t="s">
        <v>238</v>
      </c>
      <c r="Q110" s="585">
        <v>3.9E-2</v>
      </c>
      <c r="R110" s="586">
        <v>1.6E-2</v>
      </c>
      <c r="S110" s="585">
        <v>0.12</v>
      </c>
      <c r="T110" s="586">
        <v>0.04</v>
      </c>
      <c r="U110" s="585">
        <v>3.9E-2</v>
      </c>
      <c r="V110" s="587">
        <v>0.08</v>
      </c>
      <c r="W110" s="588">
        <v>0.04</v>
      </c>
      <c r="X110" s="587">
        <v>0.05</v>
      </c>
      <c r="Y110" s="588">
        <v>0.02</v>
      </c>
      <c r="Z110" s="596">
        <v>0.4</v>
      </c>
    </row>
    <row r="111" spans="1:26" ht="15" customHeight="1" thickBot="1" x14ac:dyDescent="0.25">
      <c r="P111" s="573" t="s">
        <v>239</v>
      </c>
      <c r="Q111" s="589">
        <v>4.3999999999999997E-2</v>
      </c>
      <c r="R111" s="590">
        <v>1.7999999999999999E-2</v>
      </c>
      <c r="S111" s="589">
        <v>0.12</v>
      </c>
      <c r="T111" s="590">
        <v>0.04</v>
      </c>
      <c r="U111" s="589">
        <v>4.3999999999999997E-2</v>
      </c>
      <c r="V111" s="591">
        <v>0.08</v>
      </c>
      <c r="W111" s="592">
        <v>0.04</v>
      </c>
      <c r="X111" s="591">
        <v>0.05</v>
      </c>
      <c r="Y111" s="592">
        <v>0.02</v>
      </c>
      <c r="Z111" s="624">
        <v>0.4</v>
      </c>
    </row>
  </sheetData>
  <pageMargins left="0.7" right="0.7" top="0.75" bottom="0.75" header="0.3" footer="0.3"/>
  <pageSetup paperSize="9" orientation="portrait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8"/>
  <dimension ref="A1:AJ120"/>
  <sheetViews>
    <sheetView showGridLines="0" zoomScale="85" zoomScaleNormal="85" workbookViewId="0">
      <selection activeCell="O3" sqref="O3"/>
    </sheetView>
  </sheetViews>
  <sheetFormatPr defaultRowHeight="15.75" x14ac:dyDescent="0.25"/>
  <cols>
    <col min="1" max="2" width="12.85546875" customWidth="1"/>
    <col min="3" max="3" width="14.28515625" style="1405" bestFit="1" customWidth="1"/>
    <col min="4" max="5" width="12.85546875" customWidth="1"/>
    <col min="6" max="6" width="9.28515625" style="1405" customWidth="1"/>
    <col min="7" max="8" width="12.85546875" customWidth="1"/>
    <col min="9" max="9" width="10.28515625" style="1405" bestFit="1" customWidth="1"/>
    <col min="10" max="11" width="12.85546875" customWidth="1"/>
    <col min="12" max="12" width="10.85546875" style="1405" customWidth="1"/>
    <col min="13" max="14" width="12.85546875" customWidth="1"/>
    <col min="15" max="15" width="9.5703125" style="1405" customWidth="1"/>
    <col min="16" max="17" width="12.85546875" customWidth="1"/>
    <col min="18" max="18" width="9.140625" style="1405"/>
    <col min="19" max="20" width="12.85546875" customWidth="1"/>
    <col min="21" max="21" width="9.140625" style="1405"/>
    <col min="22" max="23" width="12.85546875" customWidth="1"/>
    <col min="24" max="24" width="10.28515625" style="1405" bestFit="1" customWidth="1"/>
    <col min="26" max="26" width="10.28515625" customWidth="1"/>
    <col min="27" max="27" width="9.140625" customWidth="1"/>
    <col min="31" max="31" width="12.28515625" style="44" customWidth="1"/>
    <col min="32" max="32" width="12" style="44" customWidth="1"/>
    <col min="33" max="33" width="7.85546875" style="43" customWidth="1"/>
  </cols>
  <sheetData>
    <row r="1" spans="1:36" ht="27" thickBot="1" x14ac:dyDescent="0.45">
      <c r="A1" s="1901" t="s">
        <v>457</v>
      </c>
      <c r="B1" s="1968"/>
      <c r="C1" s="1968"/>
      <c r="D1" s="1968"/>
      <c r="E1" s="1968"/>
      <c r="F1" s="1968"/>
      <c r="G1" s="1968"/>
      <c r="H1" s="1968"/>
      <c r="I1" s="1968"/>
      <c r="J1" s="1968"/>
      <c r="K1" s="1968"/>
      <c r="L1" s="1968"/>
      <c r="M1" s="1968"/>
      <c r="N1" s="1968"/>
      <c r="O1" s="1968"/>
      <c r="P1" s="1968"/>
      <c r="Q1" s="1968"/>
      <c r="R1" s="1968"/>
      <c r="S1" s="1969"/>
      <c r="T1" s="1969"/>
      <c r="U1" s="1969"/>
    </row>
    <row r="2" spans="1:36" ht="15" x14ac:dyDescent="0.25">
      <c r="A2" s="1815" t="s">
        <v>245</v>
      </c>
      <c r="B2" s="1816"/>
      <c r="C2" s="1817"/>
      <c r="D2" s="1815" t="s">
        <v>252</v>
      </c>
      <c r="E2" s="1816"/>
      <c r="F2" s="1816"/>
      <c r="G2" s="1877" t="s">
        <v>260</v>
      </c>
      <c r="H2" s="1878"/>
      <c r="I2" s="1878"/>
      <c r="J2" s="1877" t="s">
        <v>265</v>
      </c>
      <c r="K2" s="1878"/>
      <c r="L2" s="1939"/>
      <c r="M2" s="1815" t="s">
        <v>439</v>
      </c>
      <c r="N2" s="1816"/>
      <c r="O2" s="1817"/>
      <c r="P2" s="1877" t="s">
        <v>162</v>
      </c>
      <c r="Q2" s="1878"/>
      <c r="R2" s="1879"/>
      <c r="S2" s="1868" t="s">
        <v>272</v>
      </c>
      <c r="T2" s="1869"/>
      <c r="U2" s="1870"/>
      <c r="V2" s="1932" t="s">
        <v>469</v>
      </c>
      <c r="W2" s="1932"/>
      <c r="X2" s="1933"/>
      <c r="AB2" s="1931"/>
      <c r="AC2" s="1931"/>
      <c r="AD2" s="1931"/>
    </row>
    <row r="3" spans="1:36" ht="16.5" thickBot="1" x14ac:dyDescent="0.3">
      <c r="A3" s="1926" t="s">
        <v>300</v>
      </c>
      <c r="B3" s="1867"/>
      <c r="C3" s="1474">
        <f>VLOOKUP(Навыки!J11,Таблица_навык_оружие[],7,1)</f>
        <v>0.10999999999999999</v>
      </c>
      <c r="D3" s="1837" t="s">
        <v>253</v>
      </c>
      <c r="E3" s="1838"/>
      <c r="F3" s="1478">
        <f>VLOOKUP(Навыки!J25,Таблица_навык_использование_брони[],5,0)</f>
        <v>0.23000000000000007</v>
      </c>
      <c r="G3" s="1829" t="s">
        <v>279</v>
      </c>
      <c r="H3" s="1970"/>
      <c r="I3" s="161">
        <f>VLOOKUP(Навыки!J37,Таблица_навык_спринтер[],5,0)</f>
        <v>19</v>
      </c>
      <c r="J3" s="1827" t="s">
        <v>417</v>
      </c>
      <c r="K3" s="1828"/>
      <c r="L3" s="1471">
        <f>VLOOKUP(Навыки!J45,Таблица_навык_скаут[],5,0)</f>
        <v>0.75000000000000011</v>
      </c>
      <c r="M3" s="1952" t="s">
        <v>300</v>
      </c>
      <c r="N3" s="1953"/>
      <c r="O3" s="1552">
        <f>(Навыки!C5-10)*0.255%</f>
        <v>3.8250000000000006E-2</v>
      </c>
      <c r="P3" s="1880" t="s">
        <v>441</v>
      </c>
      <c r="Q3" s="1880"/>
      <c r="R3" s="1468">
        <f>VLOOKUP(Навыки!J53,Таблица_навык_переработка[],5,0)</f>
        <v>0.25</v>
      </c>
      <c r="S3" s="1856" t="s">
        <v>69</v>
      </c>
      <c r="T3" s="1857"/>
      <c r="U3" s="345">
        <f>VLOOKUP(Навыки!$J$60,Таблица_навык_стрелок[],5,0)</f>
        <v>0</v>
      </c>
      <c r="V3" s="1931" t="s">
        <v>470</v>
      </c>
      <c r="W3" s="1931"/>
      <c r="X3" s="1465">
        <f>IF(Примерочная!P8="Зажигательные патроны",VLOOKUP(Примерочная!V2,'Таблицы оружие'!$B$2:$AM$125,24,0),0)</f>
        <v>0</v>
      </c>
      <c r="AB3" s="1912"/>
      <c r="AC3" s="1912"/>
    </row>
    <row r="4" spans="1:36" ht="16.5" thickBot="1" x14ac:dyDescent="0.3">
      <c r="A4" s="1926" t="s">
        <v>71</v>
      </c>
      <c r="B4" s="1867"/>
      <c r="C4" s="1473">
        <f>VLOOKUP(Навыки!J11,Таблица_навык_оружие[],15,1)</f>
        <v>0.10999999999999999</v>
      </c>
      <c r="D4" s="1837" t="s">
        <v>879</v>
      </c>
      <c r="E4" s="1838"/>
      <c r="F4" s="156">
        <f>VLOOKUP(Навыки!J25,Таблица_навык_использование_брони[],13,0)</f>
        <v>12</v>
      </c>
      <c r="G4" s="1877" t="s">
        <v>261</v>
      </c>
      <c r="H4" s="1878"/>
      <c r="I4" s="1878"/>
      <c r="J4" s="1877" t="s">
        <v>266</v>
      </c>
      <c r="K4" s="1878"/>
      <c r="L4" s="1939"/>
      <c r="M4" s="1386" t="s">
        <v>71</v>
      </c>
      <c r="N4" s="1245"/>
      <c r="O4" s="1530">
        <f>(Навыки!C5-10)*0.504%</f>
        <v>7.5600000000000001E-2</v>
      </c>
      <c r="P4" s="1881" t="s">
        <v>161</v>
      </c>
      <c r="Q4" s="1882"/>
      <c r="R4" s="1883"/>
      <c r="S4" s="1856" t="s">
        <v>868</v>
      </c>
      <c r="T4" s="1857"/>
      <c r="U4" s="345">
        <f>VLOOKUP(Навыки!$J$60,Таблица_навык_стрелок[],7,0)</f>
        <v>0</v>
      </c>
      <c r="V4" s="1931" t="s">
        <v>471</v>
      </c>
      <c r="W4" s="1931"/>
      <c r="X4" s="1466">
        <f>IF(Примерочная!P8="Химические патроны",VLOOKUP(Примерочная!V2,'Таблицы оружие'!$B$2:$AM$125,25,0)*(1+VLOOKUP(Навыки!J22,Таблица_навык_эффективность_боеприпасов[],4,0)),0)</f>
        <v>0</v>
      </c>
      <c r="AB4" s="1912"/>
      <c r="AC4" s="1912"/>
    </row>
    <row r="5" spans="1:36" ht="16.5" thickBot="1" x14ac:dyDescent="0.3">
      <c r="A5" s="1926" t="s">
        <v>69</v>
      </c>
      <c r="B5" s="1867"/>
      <c r="C5" s="1473">
        <f>VLOOKUP(Навыки!J11,Таблица_навык_оружие[],11,1)</f>
        <v>0.10999999999999999</v>
      </c>
      <c r="D5" s="1837" t="s">
        <v>255</v>
      </c>
      <c r="E5" s="1838"/>
      <c r="F5" s="156">
        <f>VLOOKUP(Навыки!J25,Таблица_навык_использование_брони[],7,0)</f>
        <v>12</v>
      </c>
      <c r="G5" s="1827" t="s">
        <v>898</v>
      </c>
      <c r="H5" s="1828"/>
      <c r="I5" s="1480">
        <f>VLOOKUP(Навыки!J38,Таблица_навык_первая_помощь[],5,0)</f>
        <v>1.2200000000000004</v>
      </c>
      <c r="J5" s="1827" t="s">
        <v>883</v>
      </c>
      <c r="K5" s="1828"/>
      <c r="L5" s="1472">
        <f>VLOOKUP(Навыки!J46,Таблица_навык_потоковая_компрессия[],5,0)</f>
        <v>0.7300000000000002</v>
      </c>
      <c r="M5" s="1815" t="s">
        <v>148</v>
      </c>
      <c r="N5" s="1816"/>
      <c r="O5" s="1817"/>
      <c r="P5" s="1880" t="s">
        <v>442</v>
      </c>
      <c r="Q5" s="1880"/>
      <c r="R5" s="1468">
        <f>VLOOKUP(Навыки!J57,Таблица_навык_производство[],5,0)</f>
        <v>-0.8500000000000002</v>
      </c>
      <c r="S5" s="1856" t="s">
        <v>375</v>
      </c>
      <c r="T5" s="1857"/>
      <c r="U5" s="345">
        <f>VLOOKUP(Навыки!$J$60,Таблица_навык_стрелок[],9,0)</f>
        <v>0</v>
      </c>
      <c r="V5" s="1934" t="s">
        <v>472</v>
      </c>
      <c r="W5" s="1934"/>
      <c r="X5" s="1467">
        <f>IF(Примерочная!P8="Электромагнитные патроны",VLOOKUP(Примерочная!V2,'Таблицы оружие'!$B$2:$AM$125,25,0)*(1+VLOOKUP(Навыки!J22,Таблица_навык_эффективность_боеприпасов[],4,0)),0)</f>
        <v>0</v>
      </c>
      <c r="AB5" s="1912"/>
      <c r="AC5" s="1912"/>
      <c r="AE5"/>
      <c r="AF5"/>
      <c r="AG5"/>
    </row>
    <row r="6" spans="1:36" x14ac:dyDescent="0.25">
      <c r="A6" s="1926" t="s">
        <v>440</v>
      </c>
      <c r="B6" s="1867"/>
      <c r="C6" s="1473">
        <f>VLOOKUP(Навыки!J11,Таблица_навык_оружие[],9,1)</f>
        <v>0.10999999999999999</v>
      </c>
      <c r="D6" s="1837" t="s">
        <v>526</v>
      </c>
      <c r="E6" s="1838"/>
      <c r="F6" s="156">
        <f>VLOOKUP(Навыки!J25,Таблица_навык_использование_брони[],11,0)</f>
        <v>12</v>
      </c>
      <c r="G6" s="1877" t="s">
        <v>262</v>
      </c>
      <c r="H6" s="1878"/>
      <c r="I6" s="1878"/>
      <c r="J6" s="1877" t="s">
        <v>267</v>
      </c>
      <c r="K6" s="1878"/>
      <c r="L6" s="1939"/>
      <c r="M6" s="1837" t="s">
        <v>69</v>
      </c>
      <c r="N6" s="1838"/>
      <c r="O6" s="1418">
        <f>Навыки!J4*0.004+(Навыки!B3*(0.005+Навыки!J4*0.0004))</f>
        <v>0.13900000000000001</v>
      </c>
      <c r="P6" s="1881" t="s">
        <v>443</v>
      </c>
      <c r="Q6" s="1882"/>
      <c r="R6" s="1883"/>
      <c r="S6" s="1856" t="s">
        <v>561</v>
      </c>
      <c r="T6" s="1857"/>
      <c r="U6" s="345">
        <f>VLOOKUP(Навыки!$J$60,Таблица_навык_стрелок[],11,0)</f>
        <v>0</v>
      </c>
      <c r="AB6" s="1912"/>
      <c r="AC6" s="1912"/>
      <c r="AE6"/>
      <c r="AF6"/>
      <c r="AG6"/>
    </row>
    <row r="7" spans="1:36" ht="16.5" thickBot="1" x14ac:dyDescent="0.3">
      <c r="A7" s="1926" t="s">
        <v>280</v>
      </c>
      <c r="B7" s="1942"/>
      <c r="C7" s="1524">
        <f>VLOOKUP(Навыки!J11,Таблица_навык_оружие[],5,0)</f>
        <v>5</v>
      </c>
      <c r="D7" s="1827" t="s">
        <v>299</v>
      </c>
      <c r="E7" s="1828"/>
      <c r="F7" s="155">
        <f>VLOOKUP(Навыки!J25,Таблица_навык_использование_брони[],9,0)</f>
        <v>23</v>
      </c>
      <c r="G7" s="1886" t="s">
        <v>530</v>
      </c>
      <c r="H7" s="1850"/>
      <c r="I7" s="156">
        <f>VLOOKUP(Навыки!J39,Таблица_навык_допинг[],7,1)</f>
        <v>17</v>
      </c>
      <c r="J7" s="1927" t="s">
        <v>884</v>
      </c>
      <c r="K7" s="1843"/>
      <c r="L7" s="1482">
        <f>VLOOKUP(Навыки!J47,Таблица_навык_калибровка[],5,1)</f>
        <v>0.5</v>
      </c>
      <c r="M7" s="1913" t="s">
        <v>375</v>
      </c>
      <c r="N7" s="1914"/>
      <c r="O7" s="1472">
        <f>(Навыки!C3-10)/100*1.03</f>
        <v>0.27810000000000001</v>
      </c>
      <c r="P7" s="1880" t="s">
        <v>444</v>
      </c>
      <c r="Q7" s="1880"/>
      <c r="R7" s="1468">
        <f>VLOOKUP(Навыки!J54,Таблица_навык_эфф._производства[],5,0)</f>
        <v>-0.49999999999999994</v>
      </c>
      <c r="S7" s="1856" t="s">
        <v>71</v>
      </c>
      <c r="T7" s="1857"/>
      <c r="U7" s="345">
        <f>VLOOKUP(Навыки!$J$60,Таблица_навык_стрелок[],13,0)</f>
        <v>0</v>
      </c>
      <c r="AB7" s="80"/>
      <c r="AC7" s="80"/>
      <c r="AE7"/>
      <c r="AF7"/>
      <c r="AG7"/>
    </row>
    <row r="8" spans="1:36" ht="16.5" thickBot="1" x14ac:dyDescent="0.3">
      <c r="A8" s="1838" t="s">
        <v>70</v>
      </c>
      <c r="B8" s="1838"/>
      <c r="C8" s="1565">
        <f>VLOOKUP(Навыки!J11,Таблица_навык_оружие[],13,1)</f>
        <v>0.10999999999999999</v>
      </c>
      <c r="D8" s="1815" t="s">
        <v>253</v>
      </c>
      <c r="E8" s="1816"/>
      <c r="F8" s="1817"/>
      <c r="G8" s="138" t="s">
        <v>899</v>
      </c>
      <c r="H8" s="44"/>
      <c r="I8" s="1481">
        <f>VLOOKUP(Навыки!J39,Таблица_навык_допинг[],9,1)</f>
        <v>9.9999999999999992E-2</v>
      </c>
      <c r="J8" s="1913" t="s">
        <v>885</v>
      </c>
      <c r="K8" s="1914"/>
      <c r="L8" s="1472">
        <f>VLOOKUP(Навыки!J47,Таблица_навык_калибровка[],7,1)</f>
        <v>0.21</v>
      </c>
      <c r="M8" s="1815" t="s">
        <v>150</v>
      </c>
      <c r="N8" s="1816"/>
      <c r="O8" s="1817"/>
      <c r="P8" s="1881" t="s">
        <v>164</v>
      </c>
      <c r="Q8" s="1882"/>
      <c r="R8" s="1884"/>
      <c r="S8" s="1871" t="s">
        <v>273</v>
      </c>
      <c r="T8" s="1872"/>
      <c r="U8" s="1873"/>
      <c r="AB8" s="80"/>
      <c r="AC8" s="80"/>
      <c r="AE8"/>
      <c r="AF8"/>
      <c r="AG8"/>
    </row>
    <row r="9" spans="1:36" ht="16.5" thickBot="1" x14ac:dyDescent="0.3">
      <c r="A9" s="1815" t="s">
        <v>71</v>
      </c>
      <c r="B9" s="1816"/>
      <c r="C9" s="1817"/>
      <c r="D9" s="1827" t="s">
        <v>253</v>
      </c>
      <c r="E9" s="1828"/>
      <c r="F9" s="1471">
        <f>VLOOKUP(Навыки!J26,Таблица_навык_защита[],5,0)</f>
        <v>2.65</v>
      </c>
      <c r="G9" s="1886" t="s">
        <v>900</v>
      </c>
      <c r="H9" s="1850"/>
      <c r="I9" s="160">
        <f>VLOOKUP(Навыки!J39,Таблица_навык_допинг[],5,1)</f>
        <v>-5</v>
      </c>
      <c r="J9" s="1815" t="s">
        <v>319</v>
      </c>
      <c r="K9" s="1816"/>
      <c r="L9" s="1817"/>
      <c r="M9" s="1837" t="s">
        <v>882</v>
      </c>
      <c r="N9" s="1838"/>
      <c r="O9" s="1483">
        <f>(Навыки!C6-10)*1</f>
        <v>15</v>
      </c>
      <c r="P9" s="1885" t="s">
        <v>445</v>
      </c>
      <c r="Q9" s="1885"/>
      <c r="R9" s="1469">
        <f>VLOOKUP(Навыки!J55,Таблица_навык_интендант[],5,0)</f>
        <v>300</v>
      </c>
      <c r="S9" s="1886" t="s">
        <v>879</v>
      </c>
      <c r="T9" s="1850"/>
      <c r="U9" s="346">
        <f>VLOOKUP(Навыки!$J$61,Таблица_навык_защитник[],5,0)</f>
        <v>0</v>
      </c>
      <c r="AB9" s="1912"/>
      <c r="AC9" s="1912"/>
    </row>
    <row r="10" spans="1:36" ht="16.5" thickBot="1" x14ac:dyDescent="0.3">
      <c r="A10" s="1940" t="s">
        <v>71</v>
      </c>
      <c r="B10" s="1941"/>
      <c r="C10" s="1470">
        <f>VLOOKUP(Навыки!J12,Таблица_навык_урон[],5,0)</f>
        <v>1.0000000000000002</v>
      </c>
      <c r="D10" s="1877" t="s">
        <v>254</v>
      </c>
      <c r="E10" s="1878"/>
      <c r="F10" s="1939"/>
      <c r="G10" s="1913" t="s">
        <v>832</v>
      </c>
      <c r="H10" s="1914"/>
      <c r="I10" s="155">
        <f>VLOOKUP(Навыки!J39,Таблица_навык_допинг[],11,1)</f>
        <v>3</v>
      </c>
      <c r="J10" s="1886" t="s">
        <v>375</v>
      </c>
      <c r="K10" s="1850"/>
      <c r="L10" s="1476">
        <f>VLOOKUP(Навыки!J50,Таблица_навык_ксенофизиология[],5,0)</f>
        <v>0.64000000000000024</v>
      </c>
      <c r="M10" s="1827" t="s">
        <v>278</v>
      </c>
      <c r="N10" s="1828"/>
      <c r="O10" s="163">
        <f>(Навыки!C6-10)*1</f>
        <v>15</v>
      </c>
      <c r="P10" s="1881" t="s">
        <v>271</v>
      </c>
      <c r="Q10" s="1882"/>
      <c r="R10" s="1884"/>
      <c r="S10" s="1886" t="s">
        <v>299</v>
      </c>
      <c r="T10" s="1850"/>
      <c r="U10" s="347">
        <f>VLOOKUP(Навыки!$J$61,Таблица_навык_защитник[],7,0)</f>
        <v>0</v>
      </c>
      <c r="AB10" s="1912"/>
      <c r="AC10" s="1912"/>
    </row>
    <row r="11" spans="1:36" ht="16.5" thickBot="1" x14ac:dyDescent="0.3">
      <c r="A11" s="1815" t="s">
        <v>868</v>
      </c>
      <c r="B11" s="1816"/>
      <c r="C11" s="1817"/>
      <c r="D11" s="1829" t="s">
        <v>254</v>
      </c>
      <c r="E11" s="1830"/>
      <c r="F11" s="139">
        <f>VLOOKUP(Навыки!J27,Таблица_навык_крит._защита[],5,0)</f>
        <v>120</v>
      </c>
      <c r="G11" s="1877" t="s">
        <v>920</v>
      </c>
      <c r="H11" s="1878"/>
      <c r="I11" s="1878"/>
      <c r="J11" s="1837" t="s">
        <v>868</v>
      </c>
      <c r="K11" s="1838"/>
      <c r="L11" s="1477">
        <f>VLOOKUP(Навыки!J50,Таблица_навык_ксенофизиология[],7,0)</f>
        <v>1.4000000000000006</v>
      </c>
      <c r="M11" s="1877" t="s">
        <v>151</v>
      </c>
      <c r="N11" s="1878"/>
      <c r="O11" s="1939"/>
      <c r="P11" s="1885" t="s">
        <v>446</v>
      </c>
      <c r="Q11" s="1924"/>
      <c r="R11" s="1469">
        <f>VLOOKUP(Навыки!J56,Таблица_навык_торговец[],5,0)</f>
        <v>15</v>
      </c>
      <c r="S11" s="1886" t="s">
        <v>380</v>
      </c>
      <c r="T11" s="1850"/>
      <c r="U11" s="347">
        <f>VLOOKUP(Навыки!$J$61,Таблица_навык_защитник[],9,0)</f>
        <v>0</v>
      </c>
      <c r="AB11" s="1912"/>
      <c r="AC11" s="1912"/>
    </row>
    <row r="12" spans="1:36" ht="16.5" thickBot="1" x14ac:dyDescent="0.3">
      <c r="A12" s="1908" t="s">
        <v>246</v>
      </c>
      <c r="B12" s="1909"/>
      <c r="C12" s="1470">
        <f>VLOOKUP(Навыки!J13,Таблица_навык_крит._урон[],5,0)</f>
        <v>0.50000000000000011</v>
      </c>
      <c r="D12" s="1815" t="s">
        <v>255</v>
      </c>
      <c r="E12" s="1816"/>
      <c r="F12" s="1817"/>
      <c r="G12" s="1829" t="s">
        <v>278</v>
      </c>
      <c r="H12" s="1830"/>
      <c r="I12" s="161">
        <f>VLOOKUP(Навыки!J40,Таблица_навык_крепкое_здоровье[],5,0)</f>
        <v>47</v>
      </c>
      <c r="J12" s="1827" t="s">
        <v>71</v>
      </c>
      <c r="K12" s="1828"/>
      <c r="L12" s="1472">
        <f>VLOOKUP(Навыки!J50,Таблица_навык_ксенофизиология[],9,0)</f>
        <v>0.28000000000000008</v>
      </c>
      <c r="M12" s="1837" t="s">
        <v>297</v>
      </c>
      <c r="N12" s="1838"/>
      <c r="O12" s="1528">
        <f>(Навыки!C7-10)/200</f>
        <v>7.4999999999999997E-2</v>
      </c>
      <c r="P12" s="81"/>
      <c r="Q12" s="81"/>
      <c r="R12" s="1399"/>
      <c r="S12" s="1886" t="s">
        <v>255</v>
      </c>
      <c r="T12" s="1850"/>
      <c r="U12" s="347">
        <f>VLOOKUP(Навыки!$J$61,Таблица_навык_защитник[],11,0)</f>
        <v>0</v>
      </c>
      <c r="AB12" s="1912"/>
      <c r="AC12" s="1912"/>
    </row>
    <row r="13" spans="1:36" ht="16.5" thickBot="1" x14ac:dyDescent="0.3">
      <c r="A13" s="1815" t="s">
        <v>69</v>
      </c>
      <c r="B13" s="1816"/>
      <c r="C13" s="1817"/>
      <c r="D13" s="1829" t="s">
        <v>255</v>
      </c>
      <c r="E13" s="1830"/>
      <c r="F13" s="139">
        <f>VLOOKUP(Навыки!J28,Таблица_навык_маскировка[],5,0)</f>
        <v>75</v>
      </c>
      <c r="G13" s="1877" t="s">
        <v>377</v>
      </c>
      <c r="H13" s="1878"/>
      <c r="I13" s="1878"/>
      <c r="J13" s="1815" t="s">
        <v>437</v>
      </c>
      <c r="K13" s="1816"/>
      <c r="L13" s="1817"/>
      <c r="M13" s="1913" t="s">
        <v>299</v>
      </c>
      <c r="N13" s="1914"/>
      <c r="O13" s="1484">
        <f>(Навыки!C7-10)*1</f>
        <v>15</v>
      </c>
      <c r="P13" s="81"/>
      <c r="Q13" s="81"/>
      <c r="R13" s="1399"/>
      <c r="S13" s="1837" t="s">
        <v>253</v>
      </c>
      <c r="T13" s="1838"/>
      <c r="U13" s="348">
        <f>VLOOKUP(Навыки!$J$61,Таблица_навык_защитник[],13,0)</f>
        <v>0</v>
      </c>
      <c r="AB13" s="1912"/>
      <c r="AC13" s="1912"/>
      <c r="AE13"/>
      <c r="AF13"/>
      <c r="AG13"/>
    </row>
    <row r="14" spans="1:36" ht="16.5" thickBot="1" x14ac:dyDescent="0.3">
      <c r="A14" s="1827" t="s">
        <v>69</v>
      </c>
      <c r="B14" s="1828"/>
      <c r="C14" s="1471">
        <f>VLOOKUP(Навыки!J14,Таблица_навык_точность[],5,0)</f>
        <v>0.65000000000000024</v>
      </c>
      <c r="D14" s="1815" t="s">
        <v>256</v>
      </c>
      <c r="E14" s="1816"/>
      <c r="F14" s="1817"/>
      <c r="G14" s="1829" t="s">
        <v>887</v>
      </c>
      <c r="H14" s="1830"/>
      <c r="I14" s="161">
        <f>VLOOKUP(Навыки!J41,Таблица_навык_метаболизм[],5,0)</f>
        <v>0</v>
      </c>
      <c r="J14" s="1827" t="s">
        <v>418</v>
      </c>
      <c r="K14" s="1828"/>
      <c r="L14" s="139">
        <f>VLOOKUP(Навыки!J48,Таблица_навык_турист[],5,0)</f>
        <v>50</v>
      </c>
      <c r="M14" s="1815" t="s">
        <v>147</v>
      </c>
      <c r="N14" s="1920"/>
      <c r="O14" s="1921"/>
      <c r="P14" s="81"/>
      <c r="Q14" s="81"/>
      <c r="R14" s="1399"/>
      <c r="S14" s="1874" t="s">
        <v>274</v>
      </c>
      <c r="T14" s="1875"/>
      <c r="U14" s="1876"/>
      <c r="AB14" s="1912"/>
      <c r="AC14" s="1912"/>
    </row>
    <row r="15" spans="1:36" ht="16.5" thickBot="1" x14ac:dyDescent="0.3">
      <c r="A15" s="1815" t="s">
        <v>375</v>
      </c>
      <c r="B15" s="1816"/>
      <c r="C15" s="1817"/>
      <c r="D15" s="1829" t="s">
        <v>256</v>
      </c>
      <c r="E15" s="1830"/>
      <c r="F15" s="139">
        <f>VLOOKUP(Навыки!J29,Таблица_навык_крит._уклонение[],5,0)</f>
        <v>65</v>
      </c>
      <c r="J15" s="1892"/>
      <c r="K15" s="1892"/>
      <c r="L15" s="1892"/>
      <c r="M15" s="1886" t="s">
        <v>255</v>
      </c>
      <c r="N15" s="1850"/>
      <c r="O15" s="1483">
        <f>(Навыки!C4-10)*1</f>
        <v>30</v>
      </c>
      <c r="S15" s="1915" t="s">
        <v>417</v>
      </c>
      <c r="T15" s="1916"/>
      <c r="U15" s="349">
        <f>VLOOKUP(Навыки!$J$62,Таблица_навык_защитник[],5,0)</f>
        <v>0</v>
      </c>
      <c r="AA15" s="1405"/>
      <c r="AE15" s="1912"/>
      <c r="AF15" s="1912"/>
      <c r="AG15"/>
      <c r="AH15" s="44"/>
      <c r="AI15" s="44"/>
      <c r="AJ15" s="43"/>
    </row>
    <row r="16" spans="1:36" ht="16.5" thickBot="1" x14ac:dyDescent="0.3">
      <c r="A16" s="1827" t="s">
        <v>247</v>
      </c>
      <c r="B16" s="1828"/>
      <c r="C16" s="1472">
        <f>VLOOKUP(Навыки!J15,Таблица_навык_крит._попадание[],5,0)</f>
        <v>1.0500000000000003</v>
      </c>
      <c r="D16" s="1815" t="s">
        <v>326</v>
      </c>
      <c r="E16" s="1816"/>
      <c r="F16" s="1817"/>
      <c r="I16"/>
      <c r="J16" s="83"/>
      <c r="K16" s="83"/>
      <c r="L16" s="1423"/>
      <c r="M16" s="1837" t="s">
        <v>279</v>
      </c>
      <c r="N16" s="1838"/>
      <c r="O16" s="165">
        <f>(Навыки!C4-10)/3</f>
        <v>10</v>
      </c>
      <c r="R16"/>
      <c r="S16" s="1887" t="s">
        <v>898</v>
      </c>
      <c r="T16" s="1888"/>
      <c r="U16" s="350">
        <f>VLOOKUP(Навыки!$J$62,Таблица_навык_защитник[],7,0)</f>
        <v>0</v>
      </c>
      <c r="X16"/>
      <c r="AA16" s="1405"/>
      <c r="AE16" s="1912"/>
      <c r="AF16" s="1912"/>
      <c r="AG16"/>
    </row>
    <row r="17" spans="1:36" ht="16.5" thickBot="1" x14ac:dyDescent="0.3">
      <c r="A17" s="1877" t="s">
        <v>217</v>
      </c>
      <c r="B17" s="1878"/>
      <c r="C17" s="1939"/>
      <c r="D17" s="1829" t="s">
        <v>879</v>
      </c>
      <c r="E17" s="1830"/>
      <c r="F17" s="139">
        <f>VLOOKUP(Навыки!J34,Таблица_навык_сопрт._эфф.[],4,0)</f>
        <v>0</v>
      </c>
      <c r="I17"/>
      <c r="J17" s="1911"/>
      <c r="K17" s="1911"/>
      <c r="L17" s="1911"/>
      <c r="M17" s="1913" t="s">
        <v>380</v>
      </c>
      <c r="N17" s="1914"/>
      <c r="O17" s="163">
        <f>(Навыки!C4-10)*1</f>
        <v>30</v>
      </c>
      <c r="R17"/>
      <c r="S17" s="1927" t="s">
        <v>901</v>
      </c>
      <c r="T17" s="1928"/>
      <c r="U17" s="350">
        <f>VLOOKUP(Навыки!$J$62,Таблица_навык_защитник[],9,0)</f>
        <v>0</v>
      </c>
      <c r="X17"/>
      <c r="AA17" s="1405"/>
      <c r="AE17" s="1912"/>
      <c r="AF17" s="1912"/>
      <c r="AG17"/>
    </row>
    <row r="18" spans="1:36" x14ac:dyDescent="0.25">
      <c r="A18" s="1950" t="s">
        <v>429</v>
      </c>
      <c r="B18" s="1951"/>
      <c r="C18" s="1474">
        <f>IF(OR(Примерочная!V2="SSG 3000",Примерочная!V2="СВД",Примерочная!V2="ОЦ-48к",Примерочная!V2="HK PSG1",Примерочная!V2="Barrett 98B",Примерочная!V2="СВДК",Примерочная!V2="AW SM",Примерочная!V2="Kel-Tec RFB",Примерочная!V2="RPA Rangemaster",Примерочная!V2="ВСС Винторез",Примерочная!V2="DT SRS",Примерочная!V2="OCB-96",Примерочная!V2="OM 50 Nemesis",Примерочная!V2="Barrett M82",Примерочная!V2="DSR 50",Примерочная!V2="Выхлоп",Примерочная!V2="ТАС-50",Примерочная!V2="AS 50",Примерочная!V2="JNP2 Needle",Примерочная!V2="TTL mk3",Примерочная!V2="Whisper",Примерочная!V2="FX4600 Гарпия",Примерочная!V2="Z-8 Спекрт",Примерочная!V2="Stormbolt"),VLOOKUP(Навыки!J16,Таблица_навык_снайперские_винтовки[],9,1),0)</f>
        <v>0.14000000000000001</v>
      </c>
      <c r="D18" s="1962" t="s">
        <v>20</v>
      </c>
      <c r="E18" s="1963"/>
      <c r="F18" s="1964"/>
      <c r="I18"/>
      <c r="J18" s="81"/>
      <c r="K18" s="86"/>
      <c r="L18" s="1424"/>
      <c r="M18" s="1815" t="s">
        <v>146</v>
      </c>
      <c r="N18" s="1816"/>
      <c r="O18" s="1817"/>
      <c r="R18"/>
      <c r="S18" s="1887" t="s">
        <v>877</v>
      </c>
      <c r="T18" s="1888"/>
      <c r="U18" s="350">
        <f>VLOOKUP(Навыки!$J$62,Таблица_навык_защитник[],11,0)</f>
        <v>0</v>
      </c>
      <c r="X18"/>
      <c r="AA18" s="1405"/>
      <c r="AE18" s="1912"/>
      <c r="AF18" s="1912"/>
      <c r="AG18"/>
    </row>
    <row r="19" spans="1:36" ht="16.5" thickBot="1" x14ac:dyDescent="0.3">
      <c r="A19" s="1952" t="s">
        <v>889</v>
      </c>
      <c r="B19" s="1953"/>
      <c r="C19" s="1473">
        <f>IF(OR(Примерочная!V2="SSG 3000",Примерочная!V2="СВД",Примерочная!V2="ОЦ-48к",Примерочная!V2="HK PSG1",Примерочная!V2="Barrett 98B",Примерочная!V2="СВДК",Примерочная!V2="AW SM",Примерочная!V2="Kel-Tec RFB",Примерочная!V2="RPA Rangemaster",Примерочная!V2="ВСС Винторез",Примерочная!V2="DT SRS",Примерочная!V2="OCB-96",Примерочная!V2="OM 50 Nemesis",Примерочная!V2="Barrett M82",Примерочная!V2="DSR 50",Примерочная!V2="Выхлоп",Примерочная!V2="ТАС-50",Примерочная!V2="AS 50",Примерочная!V2="JNP2 Needle",Примерочная!V2="TTL mk3",Примерочная!V2="Whisper",Примерочная!V2="FX4600 Гарпия",Примерочная!V2="Z-8 Спекрт",Примерочная!V2="Stormbolt"),VLOOKUP(Навыки!J16,Таблица_навык_снайперские_винтовки[],7,1),0)</f>
        <v>0.16</v>
      </c>
      <c r="D19" s="1863" t="s">
        <v>255</v>
      </c>
      <c r="E19" s="1957"/>
      <c r="F19" s="1483">
        <f>IF(OR(Примерочная!A2="СК-М",Примерочная!A3="СК-С",Примерочная!A2="КМ-17 Сокол",Примерочная!A2="Тантал",Примерочная!A2="Tiger",Примерочная!A2="Циклоп",Примерочная!A2="Смерч",Примерочная!A2="Hyperion"),VLOOKUP(Навыки!J30,Таблица_навык_ТБ[],5,1),0)</f>
        <v>0</v>
      </c>
      <c r="J19" s="83"/>
      <c r="K19" s="83"/>
      <c r="L19" s="1423"/>
      <c r="M19" s="1886" t="s">
        <v>278</v>
      </c>
      <c r="N19" s="1850"/>
      <c r="O19" s="1483">
        <f>(Навыки!C2-10)/2</f>
        <v>7.5</v>
      </c>
      <c r="S19" s="1929" t="s">
        <v>878</v>
      </c>
      <c r="T19" s="1930"/>
      <c r="U19" s="351">
        <f>VLOOKUP(Навыки!$J$62,Таблица_навык_защитник[],13,0)</f>
        <v>0</v>
      </c>
      <c r="AA19" s="1405"/>
      <c r="AE19" s="40"/>
      <c r="AF19"/>
      <c r="AG19"/>
      <c r="AH19" s="44"/>
      <c r="AI19" s="44"/>
      <c r="AJ19" s="43"/>
    </row>
    <row r="20" spans="1:36" ht="16.5" thickBot="1" x14ac:dyDescent="0.3">
      <c r="A20" s="1960" t="s">
        <v>890</v>
      </c>
      <c r="B20" s="1961"/>
      <c r="C20" s="1475">
        <f>IF(OR(Примерочная!V2="SSG 3000",Примерочная!V2="СВД",Примерочная!V2="ОЦ-48к",Примерочная!V2="HK PSG1",Примерочная!V2="Barrett 98B",Примерочная!V2="СВДК",Примерочная!V2="AW SM",Примерочная!V2="Kel-Tec RFB",Примерочная!V2="RPA Rangemaster",Примерочная!V2="ВСС Винторез",Примерочная!V2="DT SRS",Примерочная!V2="OCB-96",Примерочная!V2="OM 50 Nemesis",Примерочная!V2="Barrett M82",Примерочная!V2="DSR 50",Примерочная!V2="Выхлоп",Примерочная!V2="ТАС-50",Примерочная!V2="AS 50",Примерочная!V2="JNP2 Needle",Примерочная!V2="TTL mk3",Примерочная!V2="Whisper",Примерочная!V2="FX4600 Гарпия",Примерочная!V2="Z-8 Спекрт",Примерочная!V2="Stormbolt"),VLOOKUP(Навыки!J16,Таблица_навык_снайперские_винтовки[],5,1),0)</f>
        <v>0.16</v>
      </c>
      <c r="D20" s="1902" t="s">
        <v>436</v>
      </c>
      <c r="E20" s="1904"/>
      <c r="F20" s="163">
        <f>IF(OR(Примерочная!A2="СК-М",Примерочная!A2="СК-С",Примерочная!A2="КМ-17 Сокол",Примерочная!A2="Тантал",Примерочная!A2="Tiger",Примерочная!A2="Циклоп",Примерочная!A2="Смерч",Примерочная!A2="Hyperion"),VLOOKUP(Навыки!J30,Таблица_навык_ТБ[],7,1),0)</f>
        <v>0</v>
      </c>
      <c r="J20" s="1911"/>
      <c r="K20" s="1911"/>
      <c r="L20" s="1911"/>
      <c r="M20" s="1827" t="s">
        <v>418</v>
      </c>
      <c r="N20" s="1828"/>
      <c r="O20" s="163">
        <f>(Навыки!C2-10)*5</f>
        <v>75</v>
      </c>
      <c r="S20" s="1892" t="s">
        <v>462</v>
      </c>
      <c r="T20" s="1892"/>
      <c r="U20" s="1892"/>
      <c r="V20" s="1892"/>
      <c r="W20" s="1892"/>
      <c r="X20" s="1893"/>
      <c r="AA20" s="1405"/>
      <c r="AB20" s="40"/>
      <c r="AC20" s="40"/>
      <c r="AD20" s="40"/>
      <c r="AE20" s="40"/>
      <c r="AF20"/>
      <c r="AG20"/>
      <c r="AH20" s="44"/>
      <c r="AI20" s="44"/>
      <c r="AJ20" s="43"/>
    </row>
    <row r="21" spans="1:36" x14ac:dyDescent="0.25">
      <c r="A21" s="1815" t="s">
        <v>396</v>
      </c>
      <c r="B21" s="1816"/>
      <c r="C21" s="1817"/>
      <c r="D21" s="1815" t="s">
        <v>257</v>
      </c>
      <c r="E21" s="1816"/>
      <c r="F21" s="1817"/>
      <c r="J21" s="81"/>
      <c r="K21" s="86"/>
      <c r="L21" s="1424"/>
      <c r="M21" s="1877" t="s">
        <v>438</v>
      </c>
      <c r="N21" s="1878"/>
      <c r="O21" s="1939"/>
      <c r="P21" s="81"/>
      <c r="Q21" s="82"/>
      <c r="R21" s="1441"/>
      <c r="S21" s="83"/>
      <c r="T21" s="83"/>
      <c r="U21" s="1423"/>
      <c r="V21" s="81"/>
      <c r="W21" s="81"/>
      <c r="X21" s="1458"/>
      <c r="AA21" s="1405"/>
      <c r="AE21"/>
      <c r="AF21"/>
      <c r="AG21"/>
      <c r="AH21" s="44"/>
      <c r="AI21" s="44"/>
      <c r="AJ21" s="43"/>
    </row>
    <row r="22" spans="1:36" x14ac:dyDescent="0.25">
      <c r="A22" s="1950" t="s">
        <v>393</v>
      </c>
      <c r="B22" s="1951"/>
      <c r="C22" s="1474">
        <f>IFERROR(IF(OR(Примерочная!V2="AK-47",Примерочная!V2="M16",Примерочная!V2="Beretta ARX-160",Примерочная!V2="L85",Примерочная!V2="AK-74M",Примерочная!V2="HK G3",Примерочная!V2="ОЦ-14 Гроза",Примерочная!V2="Steyr AUG",Примерочная!V2="G36C",Примерочная!V2="SIG516",Примерочная!V2="FN SCAR",Примерочная!V2="HK 416",Примерочная!V2="Tavor TAR-21",Примерочная!V2="AH-94 Абакан",Примерочная!V2="АС Вал",Примерочная!V2="АЕК-973",Примерочная!V2="АК-9",Примерочная!V2="FN F2000",Примерочная!V2="DXT-5",Примерочная!V2="DS-1 Desert Shark",Примерочная!V2="PQ-17 Шквал",Примерочная!V2="АМ-14 Мгла",Примерочная!V2="Fury",Примерочная!V2="Rage"),VLOOKUP(Навыки!J17,Таблица_навык_штурмовые_винтовки[],5,0),0),0)</f>
        <v>0</v>
      </c>
      <c r="D22" s="1837" t="s">
        <v>253</v>
      </c>
      <c r="E22" s="1838"/>
      <c r="F22" s="1418">
        <f>IF(OR(Примерочная!A2="казак-4",Примерочная!A2="штурм",Примерочная!A2="скат",Примерочная!A2="Aar/2 VEGA",Примерочная!A2="Devastator",Примерочная!A2="Гром",Примерочная!A2="Тайфун",Примерочная!A2="Kronos"),VLOOKUP(Навыки!J31,Таблица_навык_ШБ[],7,1),0)</f>
        <v>0</v>
      </c>
      <c r="I22"/>
      <c r="J22" s="83"/>
      <c r="K22" s="83"/>
      <c r="L22" s="1423"/>
      <c r="M22" s="162" t="s">
        <v>886</v>
      </c>
      <c r="N22" s="134"/>
      <c r="O22" s="1476">
        <f>VLOOKUP(Навыки!J49,Таблица_навык_скиталец[],5,0)</f>
        <v>0.25</v>
      </c>
      <c r="P22" s="1911"/>
      <c r="Q22" s="1911"/>
      <c r="R22" s="1911"/>
      <c r="S22" s="83"/>
      <c r="T22" s="83"/>
      <c r="U22" s="1423"/>
      <c r="V22" s="83"/>
      <c r="W22" s="83"/>
      <c r="X22" s="1459"/>
      <c r="AA22" s="1405"/>
      <c r="AE22"/>
      <c r="AF22"/>
      <c r="AG22"/>
    </row>
    <row r="23" spans="1:36" ht="16.5" thickBot="1" x14ac:dyDescent="0.3">
      <c r="A23" s="1950" t="s">
        <v>888</v>
      </c>
      <c r="B23" s="1951"/>
      <c r="C23" s="1473">
        <f>IFERROR(IF(OR(Примерочная!V2="AK-47",Примерочная!V2="M16",Примерочная!V2="Beretta ARX-160",Примерочная!V2="L85",Примерочная!V2="AK-74M",Примерочная!V2="HK G3",Примерочная!V2="ОЦ-14 Гроза",Примерочная!V2="Steyr AUG",Примерочная!V2="G36C",Примерочная!V2="SIG516",Примерочная!V2="FN SCAR",Примерочная!V2="HK 416",Примерочная!V2="Tavor TAR-21",Примерочная!V2="AH-94 Абакан",Примерочная!V2="АС Вал",Примерочная!V2="АЕК-973",Примерочная!V2="АК-9",Примерочная!V2="FN F2000",Примерочная!V2="DXT-5",Примерочная!V2="DS-1 Desert Shark",Примерочная!V2="PQ-17 Шквал",Примерочная!V2="АМ-14 Мгла",Примерочная!V2="Fury",Примерочная!V2="Rage"),VLOOKUP(Навыки!J17,Таблица_навык_штурмовые_винтовки[],9,0),0),0)</f>
        <v>0</v>
      </c>
      <c r="D23" s="1827" t="s">
        <v>436</v>
      </c>
      <c r="E23" s="1828"/>
      <c r="F23" s="163">
        <f>IF(OR(Примерочная!A2="казак-4",Примерочная!A2="штурм",Примерочная!A2="скат",Примерочная!A2="Aar/2 VEGA",Примерочная!A2="Devastator",Примерочная!A2="Гром",Примерочная!A2="Тайфун",Примерочная!A2="Kronos"),VLOOKUP(Навыки!J31,Таблица_навык_ШБ[],5,1),0)</f>
        <v>0</v>
      </c>
      <c r="I23"/>
      <c r="J23" s="1911"/>
      <c r="K23" s="1911"/>
      <c r="L23" s="1911"/>
      <c r="M23" s="162" t="s">
        <v>871</v>
      </c>
      <c r="N23" s="134"/>
      <c r="O23" s="1477">
        <f>VLOOKUP(Навыки!J49,Таблица_навык_скиталец[],7,0)</f>
        <v>-0.5</v>
      </c>
      <c r="P23" s="81"/>
      <c r="Q23" s="82"/>
      <c r="R23" s="1441"/>
      <c r="S23" s="83"/>
      <c r="T23" s="85"/>
      <c r="U23" s="1423"/>
      <c r="V23" s="81"/>
      <c r="W23" s="81"/>
      <c r="X23" s="1458"/>
      <c r="AA23" s="1405"/>
      <c r="AE23"/>
      <c r="AF23"/>
      <c r="AG23"/>
    </row>
    <row r="24" spans="1:36" ht="16.5" thickBot="1" x14ac:dyDescent="0.3">
      <c r="A24" s="1966" t="s">
        <v>394</v>
      </c>
      <c r="B24" s="1967"/>
      <c r="C24" s="1475">
        <f>IFERROR(IF(OR(Примерочная!V2="AK-47",Примерочная!V2="M16",Примерочная!V2="Beretta ARX-160",Примерочная!V2="L85",Примерочная!V2="AK-74M",Примерочная!V2="HK G3",Примерочная!V2="ОЦ-14 Гроза",Примерочная!V2="Steyr AUG",Примерочная!V2="G36C",Примерочная!V2="SIG516",Примерочная!V2="FN SCAR",Примерочная!V2="HK 416",Примерочная!V2="Tavor TAR-21",Примерочная!V2="AH-94 Абакан",Примерочная!V2="АС Вал",Примерочная!V2="АЕК-973",Примерочная!V2="АК-9",Примерочная!V2="FN F2000",Примерочная!V2="DXT-5",Примерочная!V2="DS-1 Desert Shark",Примерочная!V2="PQ-17 Шквал",Примерочная!V2="АМ-14 Мгла",Примерочная!V2="Fury",Примерочная!V2="Rage"),VLOOKUP(Навыки!J17,Таблица_навык_штурмовые_винтовки[],7,0),0),0)</f>
        <v>0</v>
      </c>
      <c r="D24" s="1954" t="s">
        <v>36</v>
      </c>
      <c r="E24" s="1955"/>
      <c r="F24" s="1956"/>
      <c r="I24"/>
      <c r="J24" s="81"/>
      <c r="K24" s="86"/>
      <c r="L24" s="1424"/>
      <c r="M24" s="1827" t="s">
        <v>283</v>
      </c>
      <c r="N24" s="1828"/>
      <c r="O24" s="1472">
        <f>VLOOKUP(Навыки!J49,Таблица_навык_скиталец[],9,0)</f>
        <v>1</v>
      </c>
      <c r="P24" s="1891"/>
      <c r="Q24" s="1891"/>
      <c r="R24" s="1891"/>
      <c r="S24" s="83"/>
      <c r="T24" s="85"/>
      <c r="U24" s="1423"/>
      <c r="V24" s="81"/>
      <c r="W24" s="81"/>
      <c r="X24" s="1458"/>
      <c r="AA24" s="1405"/>
      <c r="AE24"/>
      <c r="AF24"/>
      <c r="AG24"/>
    </row>
    <row r="25" spans="1:36" x14ac:dyDescent="0.25">
      <c r="A25" s="1943" t="s">
        <v>376</v>
      </c>
      <c r="B25" s="1944"/>
      <c r="C25" s="1945"/>
      <c r="D25" s="1837" t="s">
        <v>879</v>
      </c>
      <c r="E25" s="1838"/>
      <c r="F25" s="136">
        <f>IF(OR(Примерочная!A2="Бастион",Примерочная!A3="Ogre",Примерочная!A2="Castle Rock",Примерочная!A2="Скорпион",Примерочная!A2="HORT",Примерочная!A2="Голиаф",Примерочная!A2="Ураган",Примерочная!A2="Leviathan"),VLOOKUP(Навыки!J32,Таблица_навык_УБ[],5,0),0)</f>
        <v>3</v>
      </c>
      <c r="J25" s="83"/>
      <c r="K25" s="83"/>
      <c r="L25" s="1423"/>
      <c r="M25" s="1877" t="s">
        <v>139</v>
      </c>
      <c r="N25" s="1878"/>
      <c r="O25" s="1939"/>
      <c r="P25" s="81"/>
      <c r="Q25" s="82"/>
      <c r="R25" s="1441"/>
      <c r="S25" s="83"/>
      <c r="T25" s="85"/>
      <c r="U25" s="1423"/>
      <c r="V25" s="81"/>
      <c r="W25" s="81"/>
      <c r="X25" s="1458"/>
      <c r="AA25" s="1405"/>
      <c r="AE25"/>
      <c r="AF25"/>
      <c r="AG25"/>
      <c r="AH25" s="44"/>
      <c r="AI25" s="44"/>
      <c r="AJ25" s="43"/>
    </row>
    <row r="26" spans="1:36" ht="16.5" thickBot="1" x14ac:dyDescent="0.3">
      <c r="A26" s="1926" t="s">
        <v>432</v>
      </c>
      <c r="B26" s="1867"/>
      <c r="C26" s="1474">
        <f>IF(OR(Примерочная!V2="Тип 67",Примерочная!V2="М60",Примерочная!V2="М249 SAW",Примерочная!V2="M240",Примерочная!V2="HK MG4",Примерочная!V2="Mk48",Примерочная!V2="ПКП Печенег",Примерочная!V2="ПКМ",Примерочная!V2="Утес М",Примерочная!V2="LCS-450 Dracula",Примерочная!V2="NS-1 Каратель",Примерочная!V2="Hellstorm"),VLOOKUP(Навыки!J18,Таблица_навык_пулиметы[],5,1),0)</f>
        <v>0</v>
      </c>
      <c r="D26" s="1958" t="s">
        <v>497</v>
      </c>
      <c r="E26" s="1959"/>
      <c r="F26" s="140"/>
      <c r="J26" s="81"/>
      <c r="K26" s="81"/>
      <c r="L26" s="1399"/>
      <c r="M26" s="1831" t="s">
        <v>511</v>
      </c>
      <c r="N26" s="1832"/>
      <c r="O26" s="1434"/>
      <c r="P26" s="81"/>
      <c r="Q26" s="81"/>
      <c r="R26" s="1399"/>
      <c r="S26" s="81"/>
      <c r="T26" s="81"/>
      <c r="U26" s="1399"/>
      <c r="V26" s="81"/>
      <c r="W26" s="81"/>
      <c r="X26" s="1458"/>
      <c r="AA26" s="1405"/>
      <c r="AE26"/>
      <c r="AF26"/>
      <c r="AG26"/>
      <c r="AH26" s="44"/>
      <c r="AI26" s="44"/>
      <c r="AJ26" s="43"/>
    </row>
    <row r="27" spans="1:36" ht="16.5" thickBot="1" x14ac:dyDescent="0.3">
      <c r="A27" s="1926" t="s">
        <v>433</v>
      </c>
      <c r="B27" s="1867"/>
      <c r="C27" s="1473">
        <f>IF(OR(Примерочная!V2="Тип 67",Примерочная!V2="М60",Примерочная!V2="М249 SAW",Примерочная!V2="M240",Примерочная!V2="HK MG4",Примерочная!V2="Mk48",Примерочная!V2="ПКП Печенег",Примерочная!V2="ПКМ",Примерочная!V2="Утес М",Примерочная!V2="LCS-450 Dracula",Примерочная!V2="NS-1 Каратель",Примерочная!V2="Hellstorm"),VLOOKUP(Навыки!J18,Таблица_навык_пулиметы[],9,1),0)</f>
        <v>0</v>
      </c>
      <c r="D27" s="1827" t="s">
        <v>896</v>
      </c>
      <c r="E27" s="1828"/>
      <c r="F27" s="1472">
        <f>IF(OR(Примерочная!A2="Бастион",Примерочная!A3="Ogre",Примерочная!A2="Castle Rock",Примерочная!A2="Скорпион",Примерочная!A2="HORT",Примерочная!A2="Голиаф",Примерочная!A2="Ураган",Примерочная!A2="Leviathan"),VLOOKUP(Навыки!J32,Таблица_навык_УБ[],7,1),0)</f>
        <v>0.02</v>
      </c>
      <c r="J27" s="81"/>
      <c r="K27" s="81"/>
      <c r="L27" s="1399"/>
      <c r="M27" s="81"/>
      <c r="N27" s="81"/>
      <c r="O27" s="1399"/>
      <c r="P27" s="81"/>
      <c r="Q27" s="81"/>
      <c r="R27" s="1399"/>
      <c r="S27" s="81"/>
      <c r="T27" s="81"/>
      <c r="U27" s="1399"/>
      <c r="V27" s="81"/>
      <c r="W27" s="81"/>
      <c r="X27" s="1458"/>
      <c r="AA27" s="1405"/>
      <c r="AE27"/>
      <c r="AF27"/>
      <c r="AG27"/>
      <c r="AH27" s="44"/>
      <c r="AI27" s="44"/>
      <c r="AJ27" s="43"/>
    </row>
    <row r="28" spans="1:36" ht="16.5" thickBot="1" x14ac:dyDescent="0.3">
      <c r="A28" s="1908" t="s">
        <v>891</v>
      </c>
      <c r="B28" s="1909"/>
      <c r="C28" s="1475">
        <f>IF(OR(Примерочная!V2="Тип 67",Примерочная!V2="М60",Примерочная!V2="М249 SAW",Примерочная!V2="M240",Примерочная!V2="HK MG4",Примерочная!V2="Mk48",Примерочная!V2="ПКП Печенег",Примерочная!V2="ПКМ",Примерочная!V2="Утес М",Примерочная!V2="LCS-450 Dracula",Примерочная!V2="NS-1 Каратель",Примерочная!V2="Hellstorm"),VLOOKUP(Навыки!J18,Таблица_навык_пулиметы[],7,1),0)</f>
        <v>0</v>
      </c>
      <c r="D28" s="1815" t="s">
        <v>258</v>
      </c>
      <c r="E28" s="1816"/>
      <c r="F28" s="1817"/>
      <c r="J28" s="81"/>
      <c r="K28" s="81"/>
      <c r="L28" s="1399"/>
      <c r="M28" s="81"/>
      <c r="N28" s="81"/>
      <c r="O28" s="1399"/>
      <c r="P28" s="81"/>
      <c r="Q28" s="81"/>
      <c r="R28" s="1399"/>
      <c r="S28" s="81"/>
      <c r="T28" s="81"/>
      <c r="U28" s="1399"/>
      <c r="V28" s="81"/>
      <c r="W28" s="81"/>
      <c r="X28" s="1458"/>
      <c r="AA28" s="1405"/>
      <c r="AE28"/>
      <c r="AF28"/>
      <c r="AG28"/>
      <c r="AH28" s="44"/>
      <c r="AI28" s="44"/>
      <c r="AJ28" s="43"/>
    </row>
    <row r="29" spans="1:36" ht="16.5" thickBot="1" x14ac:dyDescent="0.3">
      <c r="A29" s="1815" t="s">
        <v>248</v>
      </c>
      <c r="B29" s="1816"/>
      <c r="C29" s="1817"/>
      <c r="D29" s="1946" t="s">
        <v>897</v>
      </c>
      <c r="E29" s="1947"/>
      <c r="F29" s="1479">
        <f>VLOOKUP(Навыки!J33,Таблица_навык_щиты[],5,1)</f>
        <v>0.03</v>
      </c>
      <c r="J29" s="81"/>
      <c r="K29" s="81"/>
      <c r="L29" s="1399"/>
      <c r="M29" s="81"/>
      <c r="N29" s="81"/>
      <c r="O29" s="1399"/>
      <c r="P29" s="81"/>
      <c r="Q29" s="81"/>
      <c r="R29" s="1399"/>
      <c r="S29" s="81"/>
      <c r="T29" s="81"/>
      <c r="U29" s="1399"/>
      <c r="V29" s="81"/>
      <c r="W29" s="81"/>
      <c r="X29" s="1458"/>
      <c r="AA29" s="1405"/>
      <c r="AE29"/>
      <c r="AF29"/>
      <c r="AG29"/>
      <c r="AH29" s="44"/>
      <c r="AI29" s="44"/>
      <c r="AJ29" s="43"/>
    </row>
    <row r="30" spans="1:36" x14ac:dyDescent="0.25">
      <c r="A30" s="1926" t="s">
        <v>47</v>
      </c>
      <c r="B30" s="1867"/>
      <c r="C30" s="1474">
        <f>IF(OR(Примерочная!V2="ТОЗ-194",Примерочная!V2="Сайга 12К",Примерочная!V2="РМБ-93",Примерочная!V2="Benelli M2",Примерочная!V2="SPAS-12",Примерочная!V2="Neostead",Примерочная!V2="SPAS-15",Примерочная!V2="HK CAWS",Примерочная!V2="H-900 Black Hawk",Примерочная!V2="SH-188 Потрошитель",Примерочная!V2="Voidscream"),VLOOKUP(Навыки!J19,Таблица_навык_дробовики[],5,1),0)</f>
        <v>0</v>
      </c>
      <c r="D30" s="1965"/>
      <c r="E30" s="1965"/>
      <c r="F30" s="1965"/>
      <c r="J30" s="81"/>
      <c r="K30" s="81"/>
      <c r="L30" s="1399"/>
      <c r="M30" s="81"/>
      <c r="N30" s="81"/>
      <c r="O30" s="1399"/>
      <c r="P30" s="81"/>
      <c r="Q30" s="81"/>
      <c r="R30" s="1399"/>
      <c r="S30" s="81"/>
      <c r="T30" s="81"/>
      <c r="U30" s="1399"/>
      <c r="V30" s="81"/>
      <c r="W30" s="81"/>
      <c r="X30" s="1458"/>
      <c r="AA30" s="1405"/>
      <c r="AE30"/>
      <c r="AF30"/>
      <c r="AG30"/>
      <c r="AH30" s="44"/>
      <c r="AI30" s="44"/>
      <c r="AJ30" s="43"/>
    </row>
    <row r="31" spans="1:36" x14ac:dyDescent="0.25">
      <c r="A31" s="1926" t="s">
        <v>434</v>
      </c>
      <c r="B31" s="1867"/>
      <c r="C31" s="1473">
        <f>IF(OR(Примерочная!V2="ТОЗ-194",Примерочная!V2="Сайга 12К",Примерочная!V2="РМБ-93",Примерочная!V2="Benelli M2",Примерочная!V2="SPAS-12",Примерочная!V2="Neostead",Примерочная!V2="SPAS-15",Примерочная!V2="HK CAWS",Примерочная!V2="H-900 Black Hawk",Примерочная!V2="SH-188 Потрошитель",Примерочная!V2="Voidscream"),VLOOKUP(Навыки!J19,Таблица_навык_дробовики[],9,1),0)</f>
        <v>0</v>
      </c>
      <c r="D31" s="88"/>
      <c r="E31" s="88"/>
      <c r="F31" s="1406"/>
      <c r="J31" s="81"/>
      <c r="K31" s="81"/>
      <c r="L31" s="1399"/>
      <c r="M31" s="81"/>
      <c r="N31" s="81"/>
      <c r="O31" s="1399"/>
      <c r="P31" s="81"/>
      <c r="Q31" s="81"/>
      <c r="R31" s="1399"/>
      <c r="S31" s="81"/>
      <c r="T31" s="81"/>
      <c r="U31" s="1399"/>
      <c r="V31" s="81"/>
      <c r="W31" s="81"/>
      <c r="X31" s="1399"/>
      <c r="AA31" s="1405"/>
      <c r="AE31"/>
      <c r="AF31"/>
      <c r="AG31"/>
      <c r="AH31" s="44"/>
      <c r="AI31" s="44"/>
      <c r="AJ31" s="43"/>
    </row>
    <row r="32" spans="1:36" ht="16.5" thickBot="1" x14ac:dyDescent="0.3">
      <c r="A32" s="1908" t="s">
        <v>435</v>
      </c>
      <c r="B32" s="1909"/>
      <c r="C32" s="1475">
        <f>IF(OR(Примерочная!V2="ТОЗ-194",Примерочная!V2="Сайга 12К",Примерочная!V2="РМБ-93",Примерочная!V2="Benelli M2",Примерочная!V2="SPAS-12",Примерочная!V2="Neostead",Примерочная!V2="SPAS-15",Примерочная!V2="HK CAWS",Примерочная!V2="H-900 Black Hawk",Примерочная!V2="SH-188 Потрошитель",Примерочная!V2="Voidscream"),VLOOKUP(Навыки!J19,Таблица_навык_дробовики[],7,1),0)</f>
        <v>0</v>
      </c>
      <c r="D32" s="88"/>
      <c r="E32" s="88"/>
      <c r="F32" s="1406"/>
      <c r="I32"/>
      <c r="J32" s="81"/>
      <c r="K32" s="81"/>
      <c r="L32" s="1399"/>
      <c r="M32" s="81"/>
      <c r="N32" s="81"/>
      <c r="O32" s="1399"/>
      <c r="P32" s="81"/>
      <c r="Q32" s="81"/>
      <c r="R32" s="1399"/>
      <c r="S32" s="81"/>
      <c r="T32" s="81"/>
      <c r="U32" s="1399"/>
      <c r="V32" s="81"/>
      <c r="W32" s="81"/>
      <c r="X32" s="1399"/>
      <c r="AA32" s="1405"/>
      <c r="AE32"/>
      <c r="AF32"/>
      <c r="AG32"/>
      <c r="AH32" s="44"/>
      <c r="AI32" s="44"/>
      <c r="AJ32" s="43"/>
    </row>
    <row r="33" spans="1:36" x14ac:dyDescent="0.25">
      <c r="A33" s="1815" t="s">
        <v>894</v>
      </c>
      <c r="B33" s="1816"/>
      <c r="C33" s="1817"/>
      <c r="D33" s="88"/>
      <c r="E33" s="88"/>
      <c r="F33" s="1406"/>
      <c r="I33"/>
      <c r="J33" s="81"/>
      <c r="K33" s="81"/>
      <c r="L33" s="1399"/>
      <c r="M33" s="81"/>
      <c r="N33" s="81"/>
      <c r="O33" s="1399"/>
      <c r="P33" s="81"/>
      <c r="Q33" s="81"/>
      <c r="R33" s="1399"/>
      <c r="S33" s="81"/>
      <c r="T33" s="81"/>
      <c r="U33" s="1399"/>
      <c r="V33" s="81"/>
      <c r="W33" s="81"/>
      <c r="X33" s="1399"/>
      <c r="AA33" s="1405"/>
      <c r="AE33"/>
      <c r="AF33"/>
      <c r="AG33"/>
      <c r="AH33" s="44"/>
      <c r="AI33" s="44"/>
      <c r="AJ33" s="43"/>
    </row>
    <row r="34" spans="1:36" ht="16.5" thickBot="1" x14ac:dyDescent="0.3">
      <c r="A34" s="1902" t="s">
        <v>894</v>
      </c>
      <c r="B34" s="1904"/>
      <c r="C34" s="1471">
        <f>VLOOKUP(Навыки!J22,Таблица_навык_эффективность_боеприпасов[],5,0)</f>
        <v>0.95000000000000029</v>
      </c>
      <c r="D34" s="88"/>
      <c r="E34" s="88"/>
      <c r="F34" s="1406"/>
      <c r="I34"/>
      <c r="J34" s="81"/>
      <c r="K34" s="81"/>
      <c r="L34" s="1399"/>
      <c r="M34" s="81"/>
      <c r="N34" s="81"/>
      <c r="O34" s="1399"/>
      <c r="P34" s="81"/>
      <c r="Q34" s="81"/>
      <c r="R34" s="1399"/>
      <c r="S34" s="81"/>
      <c r="T34" s="81"/>
      <c r="U34" s="1399"/>
      <c r="V34" s="81"/>
      <c r="W34" s="81"/>
      <c r="X34" s="1399"/>
      <c r="AA34" s="1405"/>
      <c r="AE34"/>
      <c r="AF34"/>
      <c r="AG34"/>
      <c r="AH34" s="44"/>
      <c r="AI34" s="44"/>
      <c r="AJ34" s="43"/>
    </row>
    <row r="35" spans="1:36" x14ac:dyDescent="0.25">
      <c r="A35" s="1905" t="s">
        <v>895</v>
      </c>
      <c r="B35" s="1906"/>
      <c r="C35" s="1907"/>
      <c r="D35" s="88"/>
      <c r="E35" s="88"/>
      <c r="F35" s="1406"/>
      <c r="I35"/>
      <c r="J35" s="81"/>
      <c r="K35" s="81"/>
      <c r="L35" s="1399"/>
      <c r="M35" s="81"/>
      <c r="N35" s="81"/>
      <c r="O35" s="1399"/>
      <c r="P35" s="81"/>
      <c r="Q35" s="81"/>
      <c r="R35" s="1399"/>
      <c r="S35" s="81"/>
      <c r="T35" s="81"/>
      <c r="U35" s="1399"/>
      <c r="V35" s="81"/>
      <c r="W35" s="81"/>
      <c r="X35" s="1399"/>
      <c r="AA35" s="1405"/>
      <c r="AE35"/>
      <c r="AF35"/>
      <c r="AG35"/>
      <c r="AH35" s="44"/>
      <c r="AI35" s="44"/>
      <c r="AJ35" s="43"/>
    </row>
    <row r="36" spans="1:36" x14ac:dyDescent="0.25">
      <c r="A36" s="1861" t="s">
        <v>34</v>
      </c>
      <c r="B36" s="1862"/>
      <c r="C36" s="1476">
        <f>VLOOKUP(Навыки!J20,Таблица_навык_мины[],5,1)</f>
        <v>0.44999999999999996</v>
      </c>
      <c r="D36" s="88"/>
      <c r="E36" s="88"/>
      <c r="F36" s="1406"/>
      <c r="I36"/>
      <c r="J36" s="81"/>
      <c r="K36" s="81"/>
      <c r="L36" s="1399"/>
      <c r="M36" s="81"/>
      <c r="N36" s="81"/>
      <c r="O36" s="1399"/>
      <c r="P36" s="81"/>
      <c r="Q36" s="81"/>
      <c r="R36" s="1399"/>
      <c r="S36" s="81"/>
      <c r="T36" s="81"/>
      <c r="U36" s="1399"/>
      <c r="V36" s="81"/>
      <c r="W36" s="81"/>
      <c r="X36" s="1399"/>
      <c r="AA36" s="1405"/>
      <c r="AE36"/>
      <c r="AF36"/>
      <c r="AG36"/>
      <c r="AH36" s="44"/>
      <c r="AI36" s="44"/>
      <c r="AJ36" s="43"/>
    </row>
    <row r="37" spans="1:36" x14ac:dyDescent="0.25">
      <c r="A37" s="1863" t="s">
        <v>450</v>
      </c>
      <c r="B37" s="1864"/>
      <c r="C37" s="136">
        <f>VLOOKUP(Навыки!J20,Таблица_навык_мины[],7,1)</f>
        <v>-5</v>
      </c>
      <c r="D37" s="88"/>
      <c r="E37" s="88"/>
      <c r="F37" s="1406"/>
      <c r="I37"/>
      <c r="J37" s="81"/>
      <c r="K37" s="81"/>
      <c r="L37" s="1399"/>
      <c r="M37" s="81"/>
      <c r="N37" s="81"/>
      <c r="O37" s="1399"/>
      <c r="P37" s="81"/>
      <c r="Q37" s="81"/>
      <c r="R37" s="1399"/>
      <c r="S37" s="81"/>
      <c r="T37" s="81"/>
      <c r="U37" s="1399"/>
      <c r="V37" s="81"/>
      <c r="W37" s="81"/>
      <c r="X37" s="1399"/>
      <c r="AA37" s="1405"/>
      <c r="AE37"/>
      <c r="AF37"/>
      <c r="AG37"/>
      <c r="AH37" s="44"/>
      <c r="AI37" s="44"/>
      <c r="AJ37" s="43"/>
    </row>
    <row r="38" spans="1:36" ht="16.5" thickBot="1" x14ac:dyDescent="0.3">
      <c r="A38" s="1902" t="s">
        <v>892</v>
      </c>
      <c r="B38" s="1903"/>
      <c r="C38" s="1472">
        <f>VLOOKUP(Навыки!J20,Таблица_навык_мины[],9,1)</f>
        <v>1.8</v>
      </c>
      <c r="D38" s="88"/>
      <c r="E38" s="88"/>
      <c r="F38" s="1406"/>
      <c r="I38"/>
      <c r="J38" s="81"/>
      <c r="K38" s="81"/>
      <c r="L38" s="1399"/>
      <c r="M38" s="81"/>
      <c r="N38" s="81"/>
      <c r="O38" s="1399"/>
      <c r="P38" s="81"/>
      <c r="Q38" s="81"/>
      <c r="R38" s="1399"/>
      <c r="S38" s="81"/>
      <c r="T38" s="81"/>
      <c r="U38" s="1399"/>
      <c r="V38" s="81"/>
      <c r="W38" s="81"/>
      <c r="X38" s="1399"/>
      <c r="AA38" s="1405"/>
      <c r="AE38"/>
      <c r="AF38"/>
      <c r="AG38"/>
      <c r="AH38" s="44"/>
      <c r="AI38" s="44"/>
      <c r="AJ38" s="43"/>
    </row>
    <row r="39" spans="1:36" x14ac:dyDescent="0.25">
      <c r="A39" s="1905" t="s">
        <v>250</v>
      </c>
      <c r="B39" s="1906"/>
      <c r="C39" s="1907"/>
      <c r="D39" s="88"/>
      <c r="E39" s="88"/>
      <c r="F39" s="1406"/>
      <c r="I39"/>
      <c r="J39" s="81"/>
      <c r="K39" s="81"/>
      <c r="L39" s="1399"/>
      <c r="M39" s="81"/>
      <c r="N39" s="81"/>
      <c r="O39" s="1399"/>
      <c r="P39" s="81"/>
      <c r="Q39" s="81"/>
      <c r="R39" s="1399"/>
      <c r="S39" s="81"/>
      <c r="T39" s="81"/>
      <c r="U39" s="1399"/>
      <c r="V39" s="81"/>
      <c r="W39" s="81"/>
      <c r="X39" s="1399"/>
      <c r="AA39" s="1405"/>
      <c r="AE39"/>
      <c r="AF39"/>
      <c r="AG39"/>
      <c r="AH39" s="44"/>
      <c r="AI39" s="44"/>
      <c r="AJ39" s="43"/>
    </row>
    <row r="40" spans="1:36" x14ac:dyDescent="0.25">
      <c r="A40" s="1861" t="s">
        <v>35</v>
      </c>
      <c r="B40" s="1862"/>
      <c r="C40" s="1476">
        <f>VLOOKUP(Навыки!J21,Таблица_навык_гранаты[],5,1)</f>
        <v>0</v>
      </c>
      <c r="D40" s="88"/>
      <c r="E40" s="88"/>
      <c r="F40" s="1406"/>
      <c r="I40"/>
      <c r="J40" s="81"/>
      <c r="K40" s="81"/>
      <c r="L40" s="1399"/>
      <c r="M40" s="81"/>
      <c r="N40" s="81"/>
      <c r="O40" s="1399"/>
      <c r="P40" s="81"/>
      <c r="Q40" s="81"/>
      <c r="R40" s="1399"/>
      <c r="S40" s="81"/>
      <c r="T40" s="81"/>
      <c r="U40" s="1399"/>
      <c r="V40" s="81"/>
      <c r="W40" s="81"/>
      <c r="X40" s="1399"/>
      <c r="AA40" s="1405"/>
      <c r="AE40"/>
      <c r="AF40"/>
      <c r="AG40"/>
      <c r="AH40" s="44"/>
      <c r="AI40" s="44"/>
      <c r="AJ40" s="43"/>
    </row>
    <row r="41" spans="1:36" x14ac:dyDescent="0.25">
      <c r="A41" s="1863" t="s">
        <v>424</v>
      </c>
      <c r="B41" s="1864"/>
      <c r="C41" s="1477">
        <f>VLOOKUP(Навыки!J21,Таблица_навык_гранаты[],7,1)</f>
        <v>0</v>
      </c>
      <c r="D41" s="88"/>
      <c r="E41" s="88"/>
      <c r="F41" s="1406"/>
      <c r="I41"/>
      <c r="J41" s="81"/>
      <c r="K41" s="81"/>
      <c r="L41" s="1399"/>
      <c r="M41" s="81"/>
      <c r="N41" s="81"/>
      <c r="O41" s="1399"/>
      <c r="P41" s="81"/>
      <c r="Q41" s="81"/>
      <c r="R41" s="1399"/>
      <c r="S41" s="81"/>
      <c r="T41" s="81"/>
      <c r="U41" s="1399"/>
      <c r="V41" s="81"/>
      <c r="W41" s="81"/>
      <c r="X41" s="1399"/>
      <c r="AA41" s="1405"/>
      <c r="AE41"/>
      <c r="AF41"/>
      <c r="AG41"/>
      <c r="AH41" s="44"/>
      <c r="AI41" s="44"/>
      <c r="AJ41" s="43"/>
    </row>
    <row r="42" spans="1:36" x14ac:dyDescent="0.25">
      <c r="A42" s="1910" t="s">
        <v>893</v>
      </c>
      <c r="B42" s="1864"/>
      <c r="C42" s="1575">
        <f>VLOOKUP(Навыки!J21,Таблица_навык_гранаты[],9,1)</f>
        <v>0</v>
      </c>
      <c r="F42" s="1406"/>
      <c r="I42"/>
      <c r="J42" s="81"/>
      <c r="K42" s="81"/>
      <c r="L42" s="1399"/>
      <c r="M42" s="81"/>
      <c r="N42" s="81"/>
      <c r="O42" s="1399"/>
      <c r="P42" s="81"/>
      <c r="Q42" s="81"/>
      <c r="R42" s="1399"/>
      <c r="S42" s="81"/>
      <c r="T42" s="81"/>
      <c r="U42" s="1399"/>
      <c r="V42" s="81"/>
      <c r="W42" s="81"/>
      <c r="X42" s="1399"/>
      <c r="AA42" s="1405"/>
      <c r="AE42"/>
      <c r="AF42"/>
      <c r="AG42"/>
      <c r="AH42" s="44"/>
      <c r="AI42" s="44"/>
      <c r="AJ42" s="43"/>
    </row>
    <row r="43" spans="1:36" ht="27" thickBot="1" x14ac:dyDescent="0.3">
      <c r="A43" s="1894" t="s">
        <v>458</v>
      </c>
      <c r="B43" s="1895"/>
      <c r="C43" s="1895"/>
      <c r="D43" s="1895"/>
      <c r="E43" s="1895"/>
      <c r="F43" s="1895"/>
      <c r="G43" s="1895"/>
      <c r="H43" s="1895"/>
      <c r="I43" s="1895"/>
      <c r="J43" s="1895"/>
      <c r="K43" s="1895"/>
      <c r="L43" s="1895"/>
      <c r="M43" s="1895"/>
      <c r="N43" s="1895"/>
      <c r="O43" s="1895"/>
      <c r="P43" s="1895"/>
      <c r="Q43" s="1895"/>
      <c r="R43" s="1895"/>
      <c r="S43" s="1895"/>
      <c r="T43" s="1895"/>
      <c r="U43" s="1895"/>
      <c r="V43" s="1895"/>
      <c r="W43" s="1895"/>
      <c r="X43" s="1895"/>
    </row>
    <row r="44" spans="1:36" x14ac:dyDescent="0.25">
      <c r="A44" s="1556" t="s">
        <v>908</v>
      </c>
      <c r="B44" s="1557"/>
      <c r="C44" s="1558"/>
      <c r="D44" s="87"/>
      <c r="E44" s="87"/>
      <c r="F44" s="1407"/>
      <c r="G44" s="87"/>
      <c r="H44" s="87"/>
      <c r="I44" s="1407"/>
      <c r="J44" s="87"/>
      <c r="K44" s="87"/>
      <c r="L44" s="1407"/>
      <c r="M44" s="87"/>
      <c r="N44" s="87"/>
      <c r="O44" s="1407"/>
      <c r="P44" s="87"/>
      <c r="Q44" s="87"/>
      <c r="R44" s="1407"/>
      <c r="S44" s="87"/>
      <c r="T44" s="87"/>
      <c r="U44" s="1460"/>
      <c r="AE44"/>
      <c r="AF44"/>
      <c r="AG44"/>
    </row>
    <row r="45" spans="1:36" x14ac:dyDescent="0.25">
      <c r="A45" s="138" t="s">
        <v>279</v>
      </c>
      <c r="B45" s="44"/>
      <c r="C45" s="1483">
        <f>IF(Примерочная!A2="Феникс",Примерочная!J32,0)</f>
        <v>0</v>
      </c>
      <c r="D45" s="81"/>
      <c r="E45" s="81"/>
      <c r="F45" s="1399"/>
      <c r="G45" s="81"/>
      <c r="H45" s="81"/>
      <c r="I45" s="1399"/>
      <c r="J45" s="81"/>
      <c r="K45" s="81"/>
      <c r="L45" s="1399"/>
      <c r="M45" s="81"/>
      <c r="N45" s="81"/>
      <c r="O45" s="1399"/>
      <c r="P45" s="81"/>
      <c r="Q45" s="81"/>
      <c r="R45" s="1399"/>
      <c r="S45" s="81"/>
      <c r="T45" s="81"/>
      <c r="U45" s="1458"/>
      <c r="AE45"/>
      <c r="AF45"/>
      <c r="AG45"/>
    </row>
    <row r="46" spans="1:36" x14ac:dyDescent="0.25">
      <c r="A46" s="138" t="s">
        <v>71</v>
      </c>
      <c r="B46" s="44"/>
      <c r="C46" s="1524">
        <f>IF(Примерочная!A2="Феникс",Примерочная!J33,0)</f>
        <v>0</v>
      </c>
      <c r="D46" s="81"/>
      <c r="E46" s="81"/>
      <c r="F46" s="1408"/>
      <c r="G46" s="81"/>
      <c r="H46" s="81"/>
      <c r="I46" s="1399"/>
      <c r="J46" s="81"/>
      <c r="K46" s="81"/>
      <c r="L46" s="1399"/>
      <c r="M46" s="81"/>
      <c r="N46" s="81"/>
      <c r="O46" s="1399"/>
      <c r="P46" s="81"/>
      <c r="Q46" s="81"/>
      <c r="R46" s="1399"/>
      <c r="S46" s="81"/>
      <c r="T46" s="81"/>
      <c r="U46" s="1458"/>
      <c r="AE46"/>
      <c r="AF46"/>
      <c r="AG46"/>
    </row>
    <row r="47" spans="1:36" x14ac:dyDescent="0.25">
      <c r="A47" s="138" t="s">
        <v>565</v>
      </c>
      <c r="B47" s="44"/>
      <c r="C47" s="136">
        <f>IF(Примерочная!A2="Феникс",Примерочная!J34,0)</f>
        <v>0</v>
      </c>
      <c r="D47" s="81"/>
      <c r="E47" s="81"/>
      <c r="F47" s="1408"/>
      <c r="G47" s="81"/>
      <c r="H47" s="81"/>
      <c r="I47" s="1399"/>
      <c r="J47" s="81"/>
      <c r="K47" s="81"/>
      <c r="L47" s="1399"/>
      <c r="M47" s="81"/>
      <c r="N47" s="81"/>
      <c r="O47" s="1399"/>
      <c r="P47" s="81"/>
      <c r="Q47" s="81"/>
      <c r="R47" s="1399"/>
      <c r="S47" s="81"/>
      <c r="T47" s="81"/>
      <c r="U47" s="1458"/>
      <c r="AE47"/>
      <c r="AF47"/>
      <c r="AG47"/>
    </row>
    <row r="48" spans="1:36" x14ac:dyDescent="0.25">
      <c r="A48" s="138" t="s">
        <v>434</v>
      </c>
      <c r="B48" s="44"/>
      <c r="C48" s="1524">
        <f>IF(Примерочная!A2="Феникс",IF(OR(Примерочная!V2="Remingron 870",Примерочная!V2="ТОЗ-194",Примерочная!V2="Сайга 12К",Примерочная!V2="РМБ-93",Примерочная!V2="Benelli M2",Примерочная!V2="SPAS-12",Примерочная!V2="Neostead",Примерочная!V2="SPAS-15",Примерочная!V2="HK CAWS",Примерочная!V2="Jackhammer",Примерочная!V2="H-900 Black Hawk",Примерочная!V2="SH-188 Потрошитель",Примерочная!V2="Voidscream"),Примерочная!J35,0),0)</f>
        <v>0</v>
      </c>
      <c r="D48" s="81"/>
      <c r="E48" s="81"/>
      <c r="F48" s="1408"/>
      <c r="G48" s="81"/>
      <c r="H48" s="81"/>
      <c r="I48" s="1399"/>
      <c r="J48" s="81"/>
      <c r="K48" s="81"/>
      <c r="L48" s="1399"/>
      <c r="M48" s="81"/>
      <c r="N48" s="81"/>
      <c r="O48" s="1399"/>
      <c r="P48" s="81"/>
      <c r="Q48" s="81"/>
      <c r="R48" s="1399"/>
      <c r="S48" s="81"/>
      <c r="T48" s="81"/>
      <c r="U48" s="1458"/>
      <c r="AE48"/>
      <c r="AF48"/>
      <c r="AG48"/>
    </row>
    <row r="49" spans="1:33" x14ac:dyDescent="0.25">
      <c r="A49" s="138" t="s">
        <v>909</v>
      </c>
      <c r="B49" s="44"/>
      <c r="C49" s="1524">
        <f>IF(Примерочная!A2="Феникс",IF(OR(Примерочная!V2="Galil AR",Примерочная!V2="AK-47",Примерочная!V2="M16",Примерочная!V2="Beretta ARX-160",Примерочная!V2="L85",Примерочная!V2="AK-74M",Примерочная!V2="HK G3",Примерочная!V2="ОЦ-14 Гроза",Примерочная!V2="Steyr AUG",Примерочная!V2="G36C",Примерочная!V2="SIG516",Примерочная!V2="FN SCAR",Примерочная!V2="HK 416",Примерочная!V2="Tavor TAR-21",Примерочная!V2="AH-94 Абакан",Примерочная!V2="АС Вал",Примерочная!V2="АЕК-973",Примерочная!V2="АК-9",Примерочная!V2="FN F2000",Примерочная!V2="DXT-5",Примерочная!V2="DS-1 Desert Shark",Примерочная!V2="PQ-17 Шквал",Примерочная!V2="АМ-14 Мгла",Примерочная!V2="Fury Rage"),Примерочная!J36,0),0)</f>
        <v>0</v>
      </c>
      <c r="D49" s="81"/>
      <c r="E49" s="81"/>
      <c r="F49" s="81"/>
      <c r="G49" s="81"/>
      <c r="H49" s="81"/>
      <c r="I49" s="1399"/>
      <c r="J49" s="81"/>
      <c r="K49" s="81"/>
      <c r="L49" s="1399"/>
      <c r="M49" s="81"/>
      <c r="N49" s="81"/>
      <c r="O49" s="1399"/>
      <c r="P49" s="81"/>
      <c r="Q49" s="81"/>
      <c r="R49" s="1399"/>
      <c r="S49" s="81"/>
      <c r="T49" s="81"/>
      <c r="U49" s="1458"/>
      <c r="AE49"/>
      <c r="AF49"/>
      <c r="AG49"/>
    </row>
    <row r="50" spans="1:33" x14ac:dyDescent="0.25">
      <c r="A50" s="138" t="s">
        <v>567</v>
      </c>
      <c r="B50" s="44"/>
      <c r="C50" s="1524">
        <f>IF(Примерочная!A2="Феникс",IF(OR(Примерочная!V2="РПК",Примерочная!V2="Тип 67",Примерочная!V2="М60",Примерочная!V2="М249 SAW",Примерочная!V2="M240",Примерочная!V2="HK MG4",Примерочная!V2="Mk48",Примерочная!V2="ПКП Печенег",Примерочная!V2="ПКМ",Примерочная!V2="Утес М",Примерочная!V2="LCS-450 Dracula",Примерочная!V2="NS-1 Каратель",Примерочная!V2="Hellstorm"),Примерочная!J37,0),0)</f>
        <v>0</v>
      </c>
      <c r="D50" s="81"/>
      <c r="E50" s="81"/>
      <c r="F50" s="81"/>
      <c r="G50" s="81"/>
      <c r="H50" s="81"/>
      <c r="I50" s="1399"/>
      <c r="J50" s="81"/>
      <c r="K50" s="81"/>
      <c r="L50" s="1399"/>
      <c r="M50" s="81"/>
      <c r="N50" s="81"/>
      <c r="O50" s="1399"/>
      <c r="P50" s="81"/>
      <c r="Q50" s="81"/>
      <c r="R50" s="1399"/>
      <c r="S50" s="81"/>
      <c r="T50" s="81"/>
      <c r="U50" s="1458"/>
      <c r="AE50"/>
      <c r="AF50"/>
      <c r="AG50"/>
    </row>
    <row r="51" spans="1:33" x14ac:dyDescent="0.25">
      <c r="A51" s="138" t="s">
        <v>902</v>
      </c>
      <c r="B51" s="44"/>
      <c r="C51" s="1524">
        <f>IF(Примерочная!A2="Феникс",IF(OR(Примерочная!V2="Remington M40",Примерочная!V2="SSG 3000",Примерочная!V2="СВД",Примерочная!V2="ОЦ-48к",Примерочная!V2="HK PSG1",Примерочная!V2="Barrett 98B",Примерочная!V2="СВДК",Примерочная!V2="AW SM",Примерочная!V2="Kel-Tec RFB",Примерочная!V2="RPA Rangemaster",Примерочная!V2="ВСС Винторез",Примерочная!V2="DT SRS",Примерочная!V2="OCB-96",Примерочная!V2="OM 50 Nemesis",Примерочная!V2="Barrett M82",Примерочная!V2="DSR 50",Примерочная!V2="Выхлоп",Примерочная!V2="ТАС-50",Примерочная!V2="AS 50",Примерочная!V2="JNP2 Needle",Примерочная!V2="TTL mk3",Примерочная!V2="FX4600 Гарпия",Примерочная!V2="Z-8 Спекрт",Примерочная!V2="Whisper",Примерочная!V2="Stormbolt"),Примерочная!J38,0),0)</f>
        <v>0</v>
      </c>
      <c r="D51" s="81"/>
      <c r="E51" s="81"/>
      <c r="F51" s="81"/>
      <c r="G51" s="81"/>
      <c r="H51" s="81"/>
      <c r="I51" s="1399"/>
      <c r="J51" s="81"/>
      <c r="K51" s="81"/>
      <c r="L51" s="1399"/>
      <c r="M51" s="81"/>
      <c r="N51" s="81"/>
      <c r="O51" s="1399"/>
      <c r="P51" s="81"/>
      <c r="Q51" s="81"/>
      <c r="R51" s="1399"/>
      <c r="S51" s="81"/>
      <c r="T51" s="81"/>
      <c r="U51" s="1458"/>
      <c r="AE51"/>
      <c r="AF51"/>
      <c r="AG51"/>
    </row>
    <row r="52" spans="1:33" x14ac:dyDescent="0.25">
      <c r="A52" s="138" t="s">
        <v>278</v>
      </c>
      <c r="B52" s="44"/>
      <c r="C52" s="136">
        <f>IF(Примерочная!A2="Феникс",Примерочная!J39,0)</f>
        <v>0</v>
      </c>
      <c r="D52" s="81"/>
      <c r="E52" s="81"/>
      <c r="F52" s="1408"/>
      <c r="G52" s="81"/>
      <c r="H52" s="81"/>
      <c r="I52" s="1399"/>
      <c r="J52" s="81"/>
      <c r="K52" s="81"/>
      <c r="L52" s="1399"/>
      <c r="M52" s="81"/>
      <c r="N52" s="81"/>
      <c r="O52" s="1399"/>
      <c r="P52" s="81"/>
      <c r="Q52" s="81"/>
      <c r="R52" s="1399"/>
      <c r="S52" s="81"/>
      <c r="T52" s="81"/>
      <c r="U52" s="1458"/>
      <c r="AE52"/>
      <c r="AF52"/>
      <c r="AG52"/>
    </row>
    <row r="53" spans="1:33" x14ac:dyDescent="0.25">
      <c r="A53" s="138" t="s">
        <v>819</v>
      </c>
      <c r="B53" s="44"/>
      <c r="C53" s="136">
        <f>IF(Примерочная!A2="Феникс",Примерочная!J40,0)</f>
        <v>0</v>
      </c>
      <c r="D53" s="81"/>
      <c r="E53" s="81"/>
      <c r="F53" s="1399"/>
      <c r="G53" s="81"/>
      <c r="H53" s="81"/>
      <c r="I53" s="1399"/>
      <c r="J53" s="81"/>
      <c r="K53" s="81"/>
      <c r="L53" s="1399"/>
      <c r="M53" s="81"/>
      <c r="N53" s="81"/>
      <c r="O53" s="1399"/>
      <c r="P53" s="81"/>
      <c r="Q53" s="81"/>
      <c r="R53" s="1399"/>
      <c r="S53" s="81"/>
      <c r="T53" s="81"/>
      <c r="U53" s="1458"/>
      <c r="AE53"/>
      <c r="AF53"/>
      <c r="AG53"/>
    </row>
    <row r="54" spans="1:33" x14ac:dyDescent="0.25">
      <c r="A54" s="138" t="s">
        <v>571</v>
      </c>
      <c r="B54" s="44"/>
      <c r="C54" s="136">
        <f>IF(Примерочная!A2="Феникс",Примерочная!J41,0)</f>
        <v>0</v>
      </c>
      <c r="D54" s="81"/>
      <c r="E54" s="81"/>
      <c r="F54" s="1399"/>
      <c r="G54" s="81"/>
      <c r="H54" s="81"/>
      <c r="I54" s="1399"/>
      <c r="J54" s="81"/>
      <c r="K54" s="81"/>
      <c r="L54" s="1399"/>
      <c r="M54" s="81"/>
      <c r="N54" s="81"/>
      <c r="O54" s="1399"/>
      <c r="P54" s="81"/>
      <c r="Q54" s="85"/>
      <c r="R54" s="1399"/>
      <c r="S54" s="81"/>
      <c r="T54" s="81"/>
      <c r="U54" s="1458"/>
      <c r="AE54"/>
      <c r="AF54"/>
      <c r="AG54"/>
    </row>
    <row r="55" spans="1:33" x14ac:dyDescent="0.25">
      <c r="A55" s="138" t="s">
        <v>906</v>
      </c>
      <c r="B55" s="44"/>
      <c r="C55" s="1477">
        <f>IF(Примерочная!A2="Феникс",Примерочная!J42*Навыки!J31,0)</f>
        <v>0</v>
      </c>
      <c r="D55" s="81"/>
      <c r="E55" s="81"/>
      <c r="F55" s="1399"/>
      <c r="G55" s="81"/>
      <c r="H55" s="81"/>
      <c r="I55" s="1399"/>
      <c r="J55" s="81"/>
      <c r="K55" s="81"/>
      <c r="L55" s="1399"/>
      <c r="M55" s="83"/>
      <c r="N55" s="83"/>
      <c r="O55" s="1423"/>
      <c r="P55" s="81"/>
      <c r="Q55" s="85"/>
      <c r="R55" s="1399"/>
      <c r="S55" s="81"/>
      <c r="T55" s="81"/>
      <c r="U55" s="1458"/>
      <c r="AE55"/>
      <c r="AF55"/>
      <c r="AG55"/>
    </row>
    <row r="56" spans="1:33" x14ac:dyDescent="0.25">
      <c r="A56" s="138" t="s">
        <v>907</v>
      </c>
      <c r="B56" s="44"/>
      <c r="C56" s="1477">
        <f>IF(Примерочная!A2="Феникс",Примерочная!J43*Навыки!J32,0)</f>
        <v>0</v>
      </c>
      <c r="D56" s="81"/>
      <c r="E56" s="81"/>
      <c r="F56" s="1399"/>
      <c r="G56" s="81"/>
      <c r="H56" s="81"/>
      <c r="I56" s="1399"/>
      <c r="J56" s="81"/>
      <c r="K56" s="81"/>
      <c r="L56" s="1399"/>
      <c r="M56" s="81"/>
      <c r="N56" s="81"/>
      <c r="O56" s="1399"/>
      <c r="P56" s="1911"/>
      <c r="Q56" s="1911"/>
      <c r="R56" s="1911"/>
      <c r="S56" s="81"/>
      <c r="T56" s="81"/>
      <c r="U56" s="1458"/>
      <c r="AE56"/>
      <c r="AF56"/>
      <c r="AG56"/>
    </row>
    <row r="57" spans="1:33" ht="16.5" thickBot="1" x14ac:dyDescent="0.3">
      <c r="A57" s="1559" t="s">
        <v>905</v>
      </c>
      <c r="B57" s="1560"/>
      <c r="C57" s="1472">
        <f>IF(Примерочная!A2="Феникс",Примерочная!J44*Навыки!J30,0)</f>
        <v>0</v>
      </c>
      <c r="D57" s="84"/>
      <c r="E57" s="84"/>
      <c r="F57" s="1400"/>
      <c r="G57" s="1925"/>
      <c r="H57" s="1925"/>
      <c r="I57" s="1400"/>
      <c r="J57" s="84"/>
      <c r="K57" s="84"/>
      <c r="L57" s="1400"/>
      <c r="M57" s="84"/>
      <c r="N57" s="84"/>
      <c r="O57" s="1400"/>
      <c r="P57" s="84"/>
      <c r="Q57" s="89"/>
      <c r="R57" s="1400"/>
      <c r="S57" s="84"/>
      <c r="T57" s="84"/>
      <c r="U57" s="1461"/>
      <c r="AE57"/>
      <c r="AF57"/>
      <c r="AG57"/>
    </row>
    <row r="58" spans="1:33" ht="27" thickBot="1" x14ac:dyDescent="0.3">
      <c r="A58" s="1897" t="s">
        <v>459</v>
      </c>
      <c r="B58" s="1896"/>
      <c r="C58" s="1896"/>
      <c r="D58" s="1896"/>
      <c r="E58" s="1896"/>
      <c r="F58" s="1896"/>
      <c r="G58" s="1896"/>
      <c r="H58" s="1896"/>
      <c r="I58" s="1896"/>
      <c r="J58" s="1896"/>
      <c r="K58" s="1896"/>
      <c r="L58" s="1896"/>
      <c r="M58" s="1896"/>
      <c r="N58" s="1896"/>
      <c r="O58" s="1896"/>
      <c r="P58" s="1896"/>
      <c r="Q58" s="1896"/>
      <c r="R58" s="1896"/>
      <c r="S58" s="1896"/>
      <c r="T58" s="1896"/>
      <c r="U58" s="1898"/>
      <c r="AE58"/>
      <c r="AF58"/>
      <c r="AG58"/>
    </row>
    <row r="59" spans="1:33" x14ac:dyDescent="0.25">
      <c r="A59" s="1815" t="s">
        <v>20</v>
      </c>
      <c r="B59" s="1816"/>
      <c r="C59" s="1817"/>
      <c r="D59" s="1815" t="s">
        <v>257</v>
      </c>
      <c r="E59" s="1816"/>
      <c r="F59" s="1816"/>
      <c r="G59" s="1815" t="s">
        <v>451</v>
      </c>
      <c r="H59" s="1816"/>
      <c r="I59" s="1817"/>
      <c r="J59" s="87"/>
      <c r="K59" s="87"/>
      <c r="L59" s="1407"/>
      <c r="M59" s="87"/>
      <c r="N59" s="87"/>
      <c r="O59" s="1407"/>
      <c r="P59" s="87"/>
      <c r="Q59" s="90"/>
      <c r="R59" s="1407"/>
      <c r="S59" s="87"/>
      <c r="T59" s="87"/>
      <c r="U59" s="1460"/>
      <c r="AE59"/>
      <c r="AF59"/>
      <c r="AG59"/>
    </row>
    <row r="60" spans="1:33" x14ac:dyDescent="0.25">
      <c r="A60" s="1386" t="s">
        <v>429</v>
      </c>
      <c r="B60" s="1245"/>
      <c r="C60" s="1485">
        <f>IF(OR(Примерочная!V2="Remington M40",Примерочная!V2="SSG 3000",Примерочная!V2="СВД",Примерочная!V2="ОЦ-48к",Примерочная!V2="HK PSG1",Примерочная!V2="Barrett 98B",Примерочная!V2="СВДК",Примерочная!V2="AW SM ",Примерочная!V2="Kel-Tec RFB",Примерочная!V2="RPA Rangemaster",Примерочная!V2="ВСС Винторез",Примерочная!V2="DT SRS",Примерочная!V2="OCB-96",Примерочная!V2="OM 50 Nemesis",Примерочная!V2="Barrett M82",Примерочная!V2="DSR 50",Примерочная!V2="Выхлоп",Примерочная!V2="ТАС-50",Примерочная!V2="AS 50",Примерочная!V2="JNP2 Needle",Примерочная!V2="TTL mk3",Примерочная!V2="FX4600 Гарпия",Примерочная!V2="Z-8 Спекрт",Примерочная!V2="Stormbolt",Примерочная!V2="Whisper"),IF(OR(Примерочная!A2="СК-М",Примерочная!A2="СК-С",Примерочная!A2="КМ-17 Сокол",Примерочная!A2="Тантал",Примерочная!A2="Tiger",Примерочная!A2="Циклоп",Примерочная!A2="Смерч",Примерочная!A2="Hyperion"),Примерочная!J32,0),0)</f>
        <v>0</v>
      </c>
      <c r="D60" s="1926" t="s">
        <v>447</v>
      </c>
      <c r="E60" s="1867"/>
      <c r="F60" s="1488">
        <f>IF(OR(Примерочная!A2="казак-4",Примерочная!A2="штурм",Примерочная!A2="скат",Примерочная!A2="Aar/2 VEGA",Примерочная!A2="Devastator",Примерочная!A2="Гром",Примерочная!A2="Тайфун",Примерочная!A2="Kronos"),IF(OR(Примерочная!V2="Galil AR",Примерочная!V2="AK-47",Примерочная!V2="M16",Примерочная!V2="Beretta ARX-160",Примерочная!V2="L85",Примерочная!V2="AK-74M",Примерочная!V2="HK G3",Примерочная!V2="ОЦ-14 Гроза",Примерочная!V2="Steyr AUG",Примерочная!V2="G36C",Примерочная!V2="SIG516",Примерочная!V2="FN SCAR",Примерочная!V2="HK 416",Примерочная!V2="Tavor TAR-21",Примерочная!V2="AH-94 Абакан",Примерочная!V2="АС Вал",Примерочная!V2="АЕК-973",Примерочная!V2="АК-9",Примерочная!V2="FN F2000",Примерочная!V2="DXT-5",Примерочная!V2="DS-1 Desert Shark",Примерочная!V2="PQ-17 Шквал",Примерочная!V2="АМ-14 Мгла",Примерочная!V2="Fury Rage"),Примерочная!J32,0),0)</f>
        <v>0</v>
      </c>
      <c r="G60" s="1833" t="s">
        <v>903</v>
      </c>
      <c r="H60" s="1834"/>
      <c r="I60" s="1384">
        <f>IF(OR(Примерочная!A2="Бастион",Примерочная!A2="Ogre",Примерочная!A2="Castle Rock",Примерочная!A2="Скорпион",Примерочная!A2="HORT",Примерочная!A2="Голиаф",Примерочная!A2="Ураган",Примерочная!A2="Leviathan"),Примерочная!J32,0)</f>
        <v>-0.15</v>
      </c>
      <c r="J60" s="81"/>
      <c r="K60" s="81"/>
      <c r="L60" s="1399"/>
      <c r="M60" s="81"/>
      <c r="N60" s="81"/>
      <c r="O60" s="1399"/>
      <c r="P60" s="81"/>
      <c r="Q60" s="85"/>
      <c r="R60" s="1399"/>
      <c r="S60" s="81"/>
      <c r="T60" s="81"/>
      <c r="U60" s="1458"/>
      <c r="V60">
        <f>IF(Стимуляторы!B11=1,'Таблицы броня'!E111*0.5^0,IF(Стимуляторы!B11=2,'Таблицы броня'!E111*0.5^1+'Таблицы броня'!E111*0.5^0,IF(Стимуляторы!B11=3,'Таблицы броня'!E111*0.5^2+'Таблицы броня'!E111*0.5^1+'Таблицы броня'!E111*0.5^0,IF(Стимуляторы!B11=4,'Таблицы броня'!E111*0.5^3+'Таблицы броня'!E111*0.5^2+'Таблицы броня'!E111*0.5^1+'Таблицы броня'!E111*0.5^0,0))))</f>
        <v>0</v>
      </c>
      <c r="AE60"/>
      <c r="AF60"/>
      <c r="AG60"/>
    </row>
    <row r="61" spans="1:33" x14ac:dyDescent="0.25">
      <c r="A61" s="138" t="s">
        <v>279</v>
      </c>
      <c r="B61" s="44"/>
      <c r="C61" s="1419">
        <f>IF(OR(Примерочная!A2="СК-М",Примерочная!A2="СК-С",Примерочная!A2="КМ-17 Сокол",Примерочная!A2="Тантал",Примерочная!A2="Tiger",Примерочная!A2="Циклоп",Примерочная!A2="Смерч",Примерочная!A2="Hyperion"),Примерочная!J35,0)</f>
        <v>0</v>
      </c>
      <c r="D61" s="1926" t="s">
        <v>432</v>
      </c>
      <c r="E61" s="1867"/>
      <c r="F61" s="1489">
        <f>IF(OR(Примерочная!A2="казак-4",Примерочная!A2="штурм",Примерочная!A2="скат",Примерочная!A2="Aar/2 VEGA",Примерочная!A2="Devastator",Примерочная!A2="Гром",Примерочная!A2="Тайфун",Примерочная!A2="Kronos"),IF(OR(Примерочная!V2="РПК",Примерочная!V2="Тип 67",Примерочная!V2="М60",Примерочная!V2="М249 SAW",Примерочная!V2="M240",Примерочная!V2="HK MG4",Примерочная!V2="Mk48",Примерочная!V2="ПКП Печенег",Примерочная!V2="ПКМ",Примерочная!V2="Утес М",Примерочная!V2="LCS-450 Dracula",Примерочная!V2="NS-1 Каратель",Примерочная!V2="Hellstorm"),Примерочная!J33,0),0)</f>
        <v>0</v>
      </c>
      <c r="G61" s="138" t="s">
        <v>46</v>
      </c>
      <c r="I61" s="1384" t="str">
        <f>IF(OR(Примерочная!A2="Бастион",Примерочная!A2="Ogre",Примерочная!A2="Castle Rock",Примерочная!A2="Скорпион",Примерочная!A2="HORT",Примерочная!A2="Голиаф",Примерочная!A2="Ураган",Примерочная!A2="Leviathan"),Примерочная!J33,0)</f>
        <v>-11%</v>
      </c>
      <c r="J61" s="81"/>
      <c r="K61" s="81"/>
      <c r="L61" s="1399"/>
      <c r="M61" s="81"/>
      <c r="N61" s="81"/>
      <c r="O61" s="1399"/>
      <c r="P61" s="81"/>
      <c r="Q61" s="81"/>
      <c r="R61" s="1399"/>
      <c r="S61" s="81"/>
      <c r="T61" s="81"/>
      <c r="U61" s="1458"/>
      <c r="AE61"/>
      <c r="AF61"/>
      <c r="AG61"/>
    </row>
    <row r="62" spans="1:33" x14ac:dyDescent="0.25">
      <c r="A62" s="1386" t="s">
        <v>422</v>
      </c>
      <c r="B62" s="1245"/>
      <c r="C62" s="1487">
        <f>IF(OR(Примерочная!V2="UZI",Примерочная!V2="Scorpion-61",Примерочная!V2="ПП-9 Клин",Примерочная!V2="HK MP-5",Примерочная!V2="Steyr TMP",Примерочная!V2="П-19 Бизон",Примерочная!V2="HK UMP-9",Примерочная!V2="ПП-2000",Примерочная!V2="АЕК-919К Каштан",Примерочная!V2="HK MP-7",Примерочная!V2="P90",Примерочная!V2="BDP 13 ",Примерочная!V2="Wasp",Примерочная!V2="Hornet",Примерочная!V2="ПМ",Примерочная!V2="ТТ",Примерочная!V2="Beretta 92",Примерочная!V2="Glock 17",Примерочная!V2="МР-443 Грач",Примерочная!V2="FN Browning BDM",Примерочная!V2="Steyr M-A1",Примерочная!V2="СР-1 Вектор",Примерочная!V2="HK UCP",Примерочная!V2="Five-seveN",Примерочная!V2="BDP x6",Примерочная!V2="D-87",Примерочная!V2="Sting",Примерочная!V2="Thorn"),IF(OR(Примерочная!A2="СК-М",Примерочная!A2="СК-С",Примерочная!A2="КМ-17 Сокол",Примерочная!A2="Тантал",Примерочная!A2="Tiger",Примерочная!A2="Циклоп",Примерочная!A2="Смерч",Примерочная!A2="Hyperion"),Примерочная!J33,0),0)</f>
        <v>0</v>
      </c>
      <c r="D62" s="1854" t="s">
        <v>904</v>
      </c>
      <c r="E62" s="1855"/>
      <c r="F62" s="1490">
        <f>IF(OR(Примерочная!A2="казак-4",Примерочная!A2="штурм",Примерочная!A2="скат",Примерочная!A2="Aar/2 VEGA",Примерочная!A2="Devastator",Примерочная!A2="Гром",Примерочная!A2="Тайфун",Примерочная!A2="Kronos"),IF(OR(Примерочная!V2="РПК",Примерочная!V2="Тип 67",Примерочная!V2="М60",Примерочная!V2="М249 SAW",Примерочная!V2="M240",Примерочная!V2="HK MG4",Примерочная!V2="Mk48",Примерочная!V2="ПКП Печенег",Примерочная!V2="ПКМ",Примерочная!V2="Утес М",Примерочная!V2="LCS-450 Dracula",Примерочная!V2="NS-1 Каратель",Примерочная!V2="Hellstorm"),Примерочная!J34,0),0)</f>
        <v>0</v>
      </c>
      <c r="G62" s="1926" t="s">
        <v>47</v>
      </c>
      <c r="H62" s="1867"/>
      <c r="I62" s="1486">
        <f>IF(OR(Примерочная!A2="Бастион",Примерочная!A2="Ogre",Примерочная!A2="Castle Rock",Примерочная!A2="Скорпион",Примерочная!A2="HORT",Примерочная!A2="Голиаф",Примерочная!A2="Ураган",Примерочная!A2="Leviathan"),IF(OR(Примерочная!V2="Remingron 870",Примерочная!V2="ТОЗ-194",Примерочная!V2="Сайга 12К",Примерочная!V2="РМБ-93",Примерочная!V2="Benelli M2",Примерочная!V2="SPAS-12",Примерочная!V2="Neostead",Примерочная!V2="SPAS-15",Примерочная!V2="HK CAWS",Примерочная!V2="Jackhammer",Примерочная!V2="H-900 Black Hawk",Примерочная!V2="SH-188 Потрошитель",Примерочная!V2="Voidscream"),Примерочная!J34,0),0)</f>
        <v>0</v>
      </c>
      <c r="J62" s="81"/>
      <c r="K62" s="81"/>
      <c r="L62" s="1399"/>
      <c r="M62" s="81"/>
      <c r="N62" s="81"/>
      <c r="O62" s="1399"/>
      <c r="P62" s="81"/>
      <c r="Q62" s="81"/>
      <c r="R62" s="1399"/>
      <c r="S62" s="81"/>
      <c r="T62" s="81"/>
      <c r="U62" s="1458"/>
      <c r="AE62"/>
      <c r="AF62"/>
      <c r="AG62"/>
    </row>
    <row r="63" spans="1:33" x14ac:dyDescent="0.25">
      <c r="A63" s="138" t="s">
        <v>449</v>
      </c>
      <c r="B63" s="44"/>
      <c r="C63" s="1419">
        <f>IF(OR(Примерочная!V2="Remington M40",Примерочная!V2="SSG 3000",Примерочная!V2="СВД",Примерочная!V2="ОЦ-48к",Примерочная!V2="HK PSG1",Примерочная!V2="Barrett 98B",Примерочная!V2="СВДК",Примерочная!V2="AW SM ",Примерочная!V2="Kel-Tec RFB",Примерочная!V2="RPA Rangemaster",Примерочная!V2="ВСС Винторез",Примерочная!V2="DT SRS",Примерочная!V2="OCB-96",Примерочная!V2="OM 50 Nemesis",Примерочная!V2="Barrett M82",Примерочная!V2="DSR 50",Примерочная!V2="Выхлоп",Примерочная!V2="ТАС-50",Примерочная!V2="AS 50",Примерочная!V2="JNP2 Needle",Примерочная!V2="TTL mk3",Примерочная!V2="FX4600 Гарпия",Примерочная!V2="Z-8 Спекрт",Примерочная!V2="Stormbolt",Примерочная!V2="Whisper"),IF(OR(Примерочная!A2="СК-М",Примерочная!A2="СК-С",Примерочная!A2="КМ-17 Сокол",Примерочная!A2="Тантал",Примерочная!A2="Tiger",Примерочная!A2="Циклоп",Примерочная!A2="Смерч",Примерочная!A2="Hyperion"),Примерочная!J34,0),0)</f>
        <v>0</v>
      </c>
      <c r="D63" s="1854" t="s">
        <v>448</v>
      </c>
      <c r="E63" s="1855"/>
      <c r="F63" s="1490">
        <f>IF(OR(Примерочная!A2="казак-4",Примерочная!A2="штурм",Примерочная!A2="скат",Примерочная!A2="Aar/2 VEGA",Примерочная!A2="Devastator",Примерочная!A2="Гром",Примерочная!A2="Тайфун",Примерочная!A2="Kronos"),Примерочная!J35,0)</f>
        <v>0</v>
      </c>
      <c r="G63" s="1837" t="s">
        <v>297</v>
      </c>
      <c r="H63" s="1838"/>
      <c r="I63" s="1419" t="str">
        <f>IF(OR(Примерочная!A2="Бастион",Примерочная!A2="Ogre",Примерочная!A2="Castle Rock",Примерочная!A2="Скорпион",Примерочная!A2="HORT",Примерочная!A2="Голиаф",Примерочная!A2="Ураган",Примерочная!A2="Leviathan"),Примерочная!J37,0)</f>
        <v>3%</v>
      </c>
      <c r="J63" s="81"/>
      <c r="K63" s="81"/>
      <c r="L63" s="1399"/>
      <c r="M63" s="81"/>
      <c r="N63" s="81"/>
      <c r="O63" s="1399"/>
      <c r="P63" s="81"/>
      <c r="Q63" s="81"/>
      <c r="R63" s="1399"/>
      <c r="S63" s="81"/>
      <c r="T63" s="81"/>
      <c r="U63" s="1458"/>
      <c r="AE63"/>
      <c r="AF63"/>
      <c r="AG63"/>
    </row>
    <row r="64" spans="1:33" ht="16.5" thickBot="1" x14ac:dyDescent="0.3">
      <c r="A64" s="138" t="s">
        <v>32</v>
      </c>
      <c r="B64" s="44"/>
      <c r="C64" s="1419">
        <f>IF(OR(Примерочная!V2="Remington M40",Примерочная!V2="SSG 3000",Примерочная!V2="СВД",Примерочная!V2="ОЦ-48к",Примерочная!V2="HK PSG1",Примерочная!V2="Barrett 98B",Примерочная!V2="СВДК",Примерочная!V2="AW SM ",Примерочная!V2="Kel-Tec RFB",Примерочная!V2="RPA Rangemaster",Примерочная!V2="ВСС Винторез",Примерочная!V2="DT SRS",Примерочная!V2="OCB-96",Примерочная!V2="OM 50 Nemesis",Примерочная!V2="Barrett M82",Примерочная!V2="DSR 50",Примерочная!V2="Выхлоп",Примерочная!V2="ТАС-50",Примерочная!V2="AS 50",Примерочная!V2="JNP2 Needle",Примерочная!V2="TTL mk3",Примерочная!V2="FX4600 Гарпия",Примерочная!V2="Z-8 Спекрт",Примерочная!V2="Stormbolt",Примерочная!V2="Whisper"),IF(OR(Примерочная!A2="СК-М",Примерочная!A2="СК-С",Примерочная!A2="КМ-17 Сокол",Примерочная!A2="Тантал",Примерочная!A2="Tiger",Примерочная!A2="Циклоп",Примерочная!A2="Смерч",Примерочная!A2="Hyperion"),Примерочная!J36,0),0)</f>
        <v>0</v>
      </c>
      <c r="D64" s="1820" t="s">
        <v>35</v>
      </c>
      <c r="E64" s="1821"/>
      <c r="F64" s="1491">
        <f>IF(OR(Примерочная!A2="казак-4",Примерочная!A2="штурм",Примерочная!A2="скат",Примерочная!A2="Aar/2 VEGA",Примерочная!A2="Devastator",Примерочная!A2="Гром",Примерочная!A2="Тайфун",Примерочная!A2="Kronos"),Примерочная!J36,0)</f>
        <v>0</v>
      </c>
      <c r="G64" s="1837" t="s">
        <v>48</v>
      </c>
      <c r="H64" s="1838"/>
      <c r="I64" s="1419">
        <f>IF(OR(Примерочная!A2="Бастион",Примерочная!A2="Ogre",Примерочная!A2="Castle Rock",Примерочная!A2="Скорпион",Примерочная!A2="HORT",Примерочная!A2="Голиаф",Примерочная!A2="Ураган",Примерочная!A2="Leviathan"),Примерочная!J35,0)</f>
        <v>-6</v>
      </c>
      <c r="J64" s="81"/>
      <c r="K64" s="81"/>
      <c r="L64" s="1399"/>
      <c r="M64" s="81"/>
      <c r="N64" s="81"/>
      <c r="O64" s="1399"/>
      <c r="P64" s="81"/>
      <c r="Q64" s="81"/>
      <c r="R64" s="1399"/>
      <c r="S64" s="81"/>
      <c r="T64" s="81"/>
      <c r="U64" s="1458"/>
      <c r="AE64"/>
      <c r="AF64"/>
      <c r="AG64"/>
    </row>
    <row r="65" spans="1:33" ht="16.5" thickBot="1" x14ac:dyDescent="0.3">
      <c r="A65" s="138" t="s">
        <v>450</v>
      </c>
      <c r="B65" s="44"/>
      <c r="C65" s="1419">
        <f>IF(OR(Примерочная!V2="Remington M40",Примерочная!V2="SSG 3000",Примерочная!V2="СВД",Примерочная!V2="ОЦ-48к",Примерочная!V2="HK PSG1",Примерочная!V2="Barrett 98B",Примерочная!V2="СВДК",Примерочная!V2="AW SM ",Примерочная!V2="Kel-Tec RFB",Примерочная!V2="RPA Rangemaster",Примерочная!V2="ВСС Винторез",Примерочная!V2="DT SRS",Примерочная!V2="OCB-96",Примерочная!V2="OM 50 Nemesis",Примерочная!V2="Barrett M82",Примерочная!V2="DSR 50",Примерочная!V2="Выхлоп",Примерочная!V2="ТАС-50",Примерочная!V2="AS 50",Примерочная!V2="JNP2 Needle",Примерочная!V2="TTL mk3",Примерочная!V2="FX4600 Гарпия",Примерочная!V2="Z-8 Спекрт",Примерочная!V2="Stormbolt",Примерочная!V2="Whisper"),IF(OR(Примерочная!A2="СК-М",Примерочная!A2="СК-С",Примерочная!A2="КМ-17 Сокол",Примерочная!A2="Тантал",Примерочная!A2="Tiger",Примерочная!A2="Циклоп",Примерочная!A2="Смерч",Примерочная!A2="Hyperion"),Примерочная!J37,0),0)</f>
        <v>0</v>
      </c>
      <c r="D65" s="81"/>
      <c r="E65" s="81"/>
      <c r="F65" s="1399"/>
      <c r="G65" s="1827" t="s">
        <v>452</v>
      </c>
      <c r="H65" s="1828"/>
      <c r="I65" s="1401">
        <f>IF(OR(Примерочная!A2="Бастион",Примерочная!A2="Ogre",Примерочная!A2="Castle Rock",Примерочная!A2="Скорпион",Примерочная!A2="HORT",Примерочная!A2="Голиаф",Примерочная!A2="Ураган",Примерочная!A2="Leviathan"),Примерочная!J36,0)</f>
        <v>-20</v>
      </c>
      <c r="J65" s="81"/>
      <c r="K65" s="81"/>
      <c r="L65" s="1399"/>
      <c r="M65" s="81"/>
      <c r="N65" s="81"/>
      <c r="O65" s="1399"/>
      <c r="P65" s="81"/>
      <c r="Q65" s="81"/>
      <c r="R65" s="1399"/>
      <c r="S65" s="81"/>
      <c r="T65" s="81"/>
      <c r="U65" s="1458"/>
      <c r="AE65"/>
      <c r="AF65"/>
      <c r="AG65"/>
    </row>
    <row r="66" spans="1:33" x14ac:dyDescent="0.25">
      <c r="A66" s="138" t="s">
        <v>34</v>
      </c>
      <c r="B66" s="44"/>
      <c r="C66" s="1384">
        <f>IF(OR(Примерочная!A2="СК-М",Примерочная!A2="СК-С",Примерочная!A2="КМ-17 Сокол",Примерочная!A2="Тантал",Примерочная!A2="Tiger",Примерочная!A2="Циклоп",Примерочная!A2="Смерч",Примерочная!A2="Hyperion"),Примерочная!J38,0)</f>
        <v>0</v>
      </c>
      <c r="D66" s="92"/>
      <c r="E66" s="81"/>
      <c r="F66" s="1399"/>
      <c r="G66" s="1922"/>
      <c r="H66" s="1922"/>
      <c r="I66" s="1492"/>
      <c r="J66" s="81"/>
      <c r="K66" s="81"/>
      <c r="L66" s="1399"/>
      <c r="M66" s="81"/>
      <c r="N66" s="81"/>
      <c r="O66" s="1399"/>
      <c r="P66" s="81"/>
      <c r="Q66" s="81"/>
      <c r="R66" s="1399"/>
      <c r="S66" s="81"/>
      <c r="T66" s="81"/>
      <c r="U66" s="1458"/>
      <c r="AE66"/>
      <c r="AF66"/>
      <c r="AG66"/>
    </row>
    <row r="67" spans="1:33" ht="16.5" thickBot="1" x14ac:dyDescent="0.3">
      <c r="A67" s="1559" t="s">
        <v>902</v>
      </c>
      <c r="B67" s="1560"/>
      <c r="C67" s="1401">
        <f>IF(OR(Примерочная!V2="Remington M40",Примерочная!V2="SSG 3000",Примерочная!V2="СВД",Примерочная!V2="ОЦ-48к",Примерочная!V2="HK PSG1",Примерочная!V2="Barrett 98B",Примерочная!V2="СВДК",Примерочная!V2="AW SM ",Примерочная!V2="Kel-Tec RFB",Примерочная!V2="RPA Rangemaster",Примерочная!V2="ВСС Винторез",Примерочная!V2="DT SRS",Примерочная!V2="OCB-96",Примерочная!V2="OM 50 Nemesis",Примерочная!V2="Barrett M82",Примерочная!V2="DSR 50",Примерочная!V2="Выхлоп",Примерочная!V2="ТАС-50",Примерочная!V2="AS 50",Примерочная!V2="JNP2 Needle",Примерочная!V2="TTL mk3",Примерочная!V2="FX4600 Гарпия",Примерочная!V2="Z-8 Спекрт",Примерочная!V2="Stormbolt",Примерочная!V2="Whisper"),IF(OR(Примерочная!A2="СК-М",Примерочная!A2="СК-С",Примерочная!A2="КМ-17 Сокол",Примерочная!A2="Тантал",Примерочная!A2="Tiger",Примерочная!A2="Циклоп",Примерочная!A2="Смерч",Примерочная!A2="Hyperion"),Примерочная!J39,0),0)</f>
        <v>0</v>
      </c>
      <c r="D67" s="84"/>
      <c r="E67" s="84"/>
      <c r="F67" s="1400"/>
      <c r="G67" s="1923"/>
      <c r="H67" s="1923"/>
      <c r="I67" s="1493"/>
      <c r="J67" s="84"/>
      <c r="K67" s="84"/>
      <c r="L67" s="1400"/>
      <c r="M67" s="84"/>
      <c r="N67" s="84"/>
      <c r="O67" s="1400"/>
      <c r="P67" s="84"/>
      <c r="Q67" s="84"/>
      <c r="R67" s="1400"/>
      <c r="S67" s="84"/>
      <c r="T67" s="84"/>
      <c r="U67" s="1461"/>
      <c r="AE67"/>
      <c r="AF67"/>
      <c r="AG67"/>
    </row>
    <row r="68" spans="1:33" ht="27" thickBot="1" x14ac:dyDescent="0.3">
      <c r="A68" s="1896" t="s">
        <v>356</v>
      </c>
      <c r="B68" s="1896"/>
      <c r="C68" s="1896"/>
      <c r="D68" s="1896"/>
      <c r="E68" s="1896"/>
      <c r="F68" s="1896"/>
      <c r="G68" s="1896"/>
      <c r="H68" s="1896"/>
      <c r="I68" s="1896"/>
      <c r="J68" s="1896"/>
      <c r="K68" s="1896"/>
      <c r="L68" s="1896"/>
      <c r="M68" s="1896"/>
      <c r="N68" s="1896"/>
      <c r="O68" s="1896"/>
      <c r="P68" s="1896"/>
      <c r="Q68" s="1896"/>
      <c r="R68" s="1896"/>
      <c r="S68" s="1896"/>
      <c r="T68" s="1896"/>
      <c r="U68" s="1896"/>
      <c r="AE68"/>
      <c r="AF68"/>
      <c r="AG68"/>
    </row>
    <row r="69" spans="1:33" x14ac:dyDescent="0.25">
      <c r="A69" s="1815" t="s">
        <v>373</v>
      </c>
      <c r="B69" s="1816"/>
      <c r="C69" s="1817"/>
      <c r="D69" s="1815" t="s">
        <v>482</v>
      </c>
      <c r="E69" s="1816"/>
      <c r="F69" s="1817"/>
      <c r="G69" s="1815" t="s">
        <v>384</v>
      </c>
      <c r="H69" s="1816"/>
      <c r="I69" s="1817"/>
      <c r="J69" s="1815" t="s">
        <v>483</v>
      </c>
      <c r="K69" s="1816"/>
      <c r="L69" s="1817"/>
      <c r="M69" s="1815" t="s">
        <v>808</v>
      </c>
      <c r="N69" s="1816"/>
      <c r="O69" s="1817"/>
      <c r="P69" s="1365"/>
      <c r="Q69" s="1365"/>
      <c r="R69" s="1455"/>
      <c r="S69" s="1365"/>
      <c r="T69" s="1365"/>
      <c r="U69" s="1462"/>
      <c r="AE69"/>
      <c r="AF69"/>
      <c r="AG69"/>
    </row>
    <row r="70" spans="1:33" x14ac:dyDescent="0.25">
      <c r="A70" s="138" t="s">
        <v>103</v>
      </c>
      <c r="B70" s="44"/>
      <c r="C70" s="1228">
        <v>0.17500000000000002</v>
      </c>
      <c r="D70" s="1837" t="s">
        <v>69</v>
      </c>
      <c r="E70" s="1838"/>
      <c r="F70" s="1228">
        <v>2.2499999999999999E-2</v>
      </c>
      <c r="G70" s="1837" t="s">
        <v>69</v>
      </c>
      <c r="H70" s="1838"/>
      <c r="I70" s="1228">
        <v>5.6249999999999998E-3</v>
      </c>
      <c r="J70" s="1837" t="s">
        <v>69</v>
      </c>
      <c r="K70" s="1838"/>
      <c r="L70" s="1228">
        <v>1.9140625000000002E-3</v>
      </c>
      <c r="M70" s="1837" t="s">
        <v>69</v>
      </c>
      <c r="N70" s="1838"/>
      <c r="O70" s="1229">
        <f>Перцептил_альфа_точность+Перцептил_бета_точность+Перцептил_альфа_М_точность+Перцептил_бета_М_точность</f>
        <v>0.20503906250000001</v>
      </c>
      <c r="P70" s="1361"/>
      <c r="Q70" s="1361"/>
      <c r="R70" s="1438"/>
      <c r="S70" s="1361"/>
      <c r="T70" s="1361"/>
      <c r="U70" s="1463"/>
      <c r="AE70"/>
      <c r="AF70"/>
      <c r="AG70"/>
    </row>
    <row r="71" spans="1:33" x14ac:dyDescent="0.25">
      <c r="A71" s="138" t="s">
        <v>251</v>
      </c>
      <c r="B71" s="44"/>
      <c r="C71" s="1230">
        <v>0.17500000000000002</v>
      </c>
      <c r="D71" s="1935" t="s">
        <v>251</v>
      </c>
      <c r="E71" s="1936"/>
      <c r="F71" s="1230">
        <v>2.2499999999999999E-2</v>
      </c>
      <c r="G71" s="1837" t="s">
        <v>251</v>
      </c>
      <c r="H71" s="1838"/>
      <c r="I71" s="1230">
        <v>5.6249999999999998E-3</v>
      </c>
      <c r="J71" s="1837" t="s">
        <v>251</v>
      </c>
      <c r="K71" s="1917"/>
      <c r="L71" s="1230">
        <v>1.9140625000000002E-3</v>
      </c>
      <c r="M71" s="1837" t="s">
        <v>251</v>
      </c>
      <c r="N71" s="1917"/>
      <c r="O71" s="1233">
        <f>Перцептил_альфа_Эффективность_боеприпасов+Перцептил_бета_Эффективность_боеприпасов+Перцептил_альфа_М_эффективность_боеприпасов+Перцептил_бета_М_эффективность_боеприпасов</f>
        <v>0.20503906250000001</v>
      </c>
      <c r="P71" s="1361"/>
      <c r="Q71" s="1361"/>
      <c r="R71" s="1438"/>
      <c r="S71" s="1361"/>
      <c r="T71" s="1361"/>
      <c r="U71" s="1463"/>
      <c r="AE71"/>
      <c r="AF71"/>
      <c r="AG71"/>
    </row>
    <row r="72" spans="1:33" ht="16.5" thickBot="1" x14ac:dyDescent="0.3">
      <c r="A72" s="1559" t="s">
        <v>375</v>
      </c>
      <c r="B72" s="1560"/>
      <c r="C72" s="1231">
        <v>0.17500000000000002</v>
      </c>
      <c r="D72" s="1827" t="s">
        <v>375</v>
      </c>
      <c r="E72" s="1828"/>
      <c r="F72" s="1231">
        <v>2.2499999999999999E-2</v>
      </c>
      <c r="G72" s="1827" t="s">
        <v>375</v>
      </c>
      <c r="H72" s="1828"/>
      <c r="I72" s="1231">
        <v>5.6249999999999998E-3</v>
      </c>
      <c r="J72" s="1827" t="s">
        <v>375</v>
      </c>
      <c r="K72" s="1828"/>
      <c r="L72" s="1231">
        <v>1.9140625000000002E-3</v>
      </c>
      <c r="M72" s="1827" t="s">
        <v>375</v>
      </c>
      <c r="N72" s="1828"/>
      <c r="O72" s="1232">
        <f>Перцептил_альфа_Крит._попадание+Перцептил_бета_Крит._попадание+Перцептил_альфа_М_Крит._попадание+Перцептил_бета_М_Крит._попадание</f>
        <v>0.20503906250000001</v>
      </c>
      <c r="P72" s="1361"/>
      <c r="Q72" s="1361"/>
      <c r="R72" s="1438"/>
      <c r="S72" s="1361"/>
      <c r="T72" s="1361"/>
      <c r="U72" s="1463"/>
      <c r="AE72"/>
      <c r="AF72"/>
      <c r="AG72"/>
    </row>
    <row r="73" spans="1:33" x14ac:dyDescent="0.25">
      <c r="A73" s="1815" t="s">
        <v>374</v>
      </c>
      <c r="B73" s="1816"/>
      <c r="C73" s="1817"/>
      <c r="D73" s="1815" t="s">
        <v>383</v>
      </c>
      <c r="E73" s="1816"/>
      <c r="F73" s="1817"/>
      <c r="G73" s="1815" t="s">
        <v>385</v>
      </c>
      <c r="H73" s="1816"/>
      <c r="I73" s="1817"/>
      <c r="J73" s="1815" t="s">
        <v>386</v>
      </c>
      <c r="K73" s="1816"/>
      <c r="L73" s="1817"/>
      <c r="M73" s="1815" t="s">
        <v>808</v>
      </c>
      <c r="N73" s="1816"/>
      <c r="O73" s="1817"/>
      <c r="P73" s="1361"/>
      <c r="Q73" s="1361"/>
      <c r="R73" s="1438"/>
      <c r="S73" s="1361"/>
      <c r="T73" s="1361"/>
      <c r="U73" s="1463"/>
      <c r="AE73"/>
      <c r="AF73"/>
      <c r="AG73"/>
    </row>
    <row r="74" spans="1:33" ht="16.5" thickBot="1" x14ac:dyDescent="0.3">
      <c r="A74" s="1559" t="s">
        <v>53</v>
      </c>
      <c r="B74" s="1560"/>
      <c r="C74" s="1225">
        <v>0</v>
      </c>
      <c r="D74" s="1827" t="s">
        <v>53</v>
      </c>
      <c r="E74" s="1828"/>
      <c r="F74" s="1225">
        <v>0</v>
      </c>
      <c r="G74" s="1827" t="s">
        <v>53</v>
      </c>
      <c r="H74" s="1828"/>
      <c r="I74" s="1225">
        <v>0</v>
      </c>
      <c r="J74" s="1827" t="s">
        <v>53</v>
      </c>
      <c r="K74" s="1828"/>
      <c r="L74" s="1225">
        <v>0</v>
      </c>
      <c r="M74" s="1241"/>
      <c r="N74" s="1224"/>
      <c r="O74" s="1442"/>
      <c r="P74" s="1361"/>
      <c r="Q74" s="1361"/>
      <c r="R74" s="1438"/>
      <c r="S74" s="1361"/>
      <c r="T74" s="1361"/>
      <c r="U74" s="1463"/>
      <c r="AE74"/>
      <c r="AF74"/>
      <c r="AG74"/>
    </row>
    <row r="75" spans="1:33" x14ac:dyDescent="0.25">
      <c r="A75" s="1815" t="s">
        <v>365</v>
      </c>
      <c r="B75" s="1816"/>
      <c r="C75" s="1817"/>
      <c r="D75" s="1812" t="s">
        <v>500</v>
      </c>
      <c r="E75" s="1813"/>
      <c r="F75" s="1814"/>
      <c r="G75" s="1812" t="s">
        <v>368</v>
      </c>
      <c r="H75" s="1813"/>
      <c r="I75" s="1814"/>
      <c r="J75" s="1812" t="s">
        <v>387</v>
      </c>
      <c r="K75" s="1813"/>
      <c r="L75" s="1814"/>
      <c r="M75" s="1815" t="s">
        <v>808</v>
      </c>
      <c r="N75" s="1816"/>
      <c r="O75" s="1817"/>
      <c r="P75" s="1361"/>
      <c r="Q75" s="1361"/>
      <c r="R75" s="1438"/>
      <c r="S75" s="1361"/>
      <c r="T75" s="1361"/>
      <c r="U75" s="1463"/>
      <c r="AE75"/>
      <c r="AF75"/>
      <c r="AG75"/>
    </row>
    <row r="76" spans="1:33" x14ac:dyDescent="0.25">
      <c r="A76" s="1561" t="s">
        <v>278</v>
      </c>
      <c r="B76" s="1562"/>
      <c r="C76" s="1228">
        <v>0</v>
      </c>
      <c r="D76" s="1937" t="s">
        <v>278</v>
      </c>
      <c r="E76" s="1938"/>
      <c r="F76" s="1228">
        <v>0</v>
      </c>
      <c r="G76" s="1937" t="s">
        <v>278</v>
      </c>
      <c r="H76" s="1938"/>
      <c r="I76" s="1228">
        <v>0</v>
      </c>
      <c r="J76" s="1937" t="s">
        <v>278</v>
      </c>
      <c r="K76" s="1938"/>
      <c r="L76" s="1228">
        <v>0</v>
      </c>
      <c r="M76" s="1918" t="s">
        <v>278</v>
      </c>
      <c r="N76" s="1919"/>
      <c r="O76" s="1228">
        <f>Гемобуфер_альфа_здоровье+Гемобуфер_бета_здоровье+Гемобуфер_альфа_М_здоровье+Гемобуфер_бета_М_здоровье</f>
        <v>0</v>
      </c>
      <c r="P76" s="1361"/>
      <c r="Q76" s="1361"/>
      <c r="R76" s="1438"/>
      <c r="S76" s="1361"/>
      <c r="T76" s="1361"/>
      <c r="U76" s="1463"/>
      <c r="AE76"/>
      <c r="AF76"/>
      <c r="AG76"/>
    </row>
    <row r="77" spans="1:33" ht="16.5" thickBot="1" x14ac:dyDescent="0.3">
      <c r="A77" s="1563" t="s">
        <v>724</v>
      </c>
      <c r="B77" s="1564"/>
      <c r="C77" s="1226">
        <v>0</v>
      </c>
      <c r="D77" s="1818" t="s">
        <v>724</v>
      </c>
      <c r="E77" s="1819"/>
      <c r="F77" s="1226">
        <v>0</v>
      </c>
      <c r="G77" s="1818" t="s">
        <v>724</v>
      </c>
      <c r="H77" s="1819"/>
      <c r="I77" s="1226">
        <v>0</v>
      </c>
      <c r="J77" s="1818" t="s">
        <v>724</v>
      </c>
      <c r="K77" s="1819"/>
      <c r="L77" s="1226">
        <v>0</v>
      </c>
      <c r="M77" s="1818" t="s">
        <v>724</v>
      </c>
      <c r="N77" s="1819"/>
      <c r="O77" s="1226">
        <f>Гемобуфер_альфа_сопротивление_эффектам+Гемобуфер_бета_сопротивление_эффектам+Гемобуфер_альфа_М_сопротивление_эффектам+Гемобуфер_бета_М_сопротивление_эффектам</f>
        <v>0</v>
      </c>
      <c r="P77" s="1361"/>
      <c r="Q77" s="1361"/>
      <c r="R77" s="1438"/>
      <c r="S77" s="1361"/>
      <c r="T77" s="1361"/>
      <c r="U77" s="1463"/>
      <c r="AE77"/>
      <c r="AF77"/>
      <c r="AG77"/>
    </row>
    <row r="78" spans="1:33" x14ac:dyDescent="0.25">
      <c r="A78" s="1815" t="s">
        <v>366</v>
      </c>
      <c r="B78" s="1816"/>
      <c r="C78" s="1817"/>
      <c r="D78" s="1815" t="s">
        <v>480</v>
      </c>
      <c r="E78" s="1816"/>
      <c r="F78" s="1817"/>
      <c r="G78" s="1815" t="s">
        <v>369</v>
      </c>
      <c r="H78" s="1816"/>
      <c r="I78" s="1817"/>
      <c r="J78" s="1815" t="s">
        <v>481</v>
      </c>
      <c r="K78" s="1816"/>
      <c r="L78" s="1817"/>
      <c r="M78" s="1815" t="s">
        <v>808</v>
      </c>
      <c r="N78" s="1816"/>
      <c r="O78" s="1817"/>
      <c r="P78" s="1361"/>
      <c r="Q78" s="1361"/>
      <c r="R78" s="1438"/>
      <c r="S78" s="1361"/>
      <c r="T78" s="1361"/>
      <c r="U78" s="1463"/>
      <c r="AE78"/>
      <c r="AF78"/>
      <c r="AG78"/>
    </row>
    <row r="79" spans="1:33" ht="16.5" thickBot="1" x14ac:dyDescent="0.3">
      <c r="A79" s="1559" t="s">
        <v>279</v>
      </c>
      <c r="B79" s="1560"/>
      <c r="C79" s="1225">
        <v>0</v>
      </c>
      <c r="D79" s="1827" t="s">
        <v>279</v>
      </c>
      <c r="E79" s="1828"/>
      <c r="F79" s="1225">
        <v>0</v>
      </c>
      <c r="G79" s="1827" t="s">
        <v>279</v>
      </c>
      <c r="H79" s="1828"/>
      <c r="I79" s="1225">
        <v>0</v>
      </c>
      <c r="J79" s="1827" t="s">
        <v>279</v>
      </c>
      <c r="K79" s="1828"/>
      <c r="L79" s="1225">
        <v>0</v>
      </c>
      <c r="M79" s="1827" t="s">
        <v>279</v>
      </c>
      <c r="N79" s="1828"/>
      <c r="O79" s="1236">
        <f>Моториум_альфа_ОД+Моториум_бета_ОД+Моториум_Альфа_М_ОД+Моториум_бета_М_ОД</f>
        <v>0</v>
      </c>
      <c r="P79" s="1361"/>
      <c r="Q79" s="1361"/>
      <c r="R79" s="1438"/>
      <c r="S79" s="1361"/>
      <c r="T79" s="1361"/>
      <c r="U79" s="1463"/>
      <c r="AE79"/>
      <c r="AF79"/>
      <c r="AG79"/>
    </row>
    <row r="80" spans="1:33" x14ac:dyDescent="0.25">
      <c r="A80" s="1815" t="s">
        <v>367</v>
      </c>
      <c r="B80" s="1816"/>
      <c r="C80" s="1817"/>
      <c r="D80" s="1815" t="s">
        <v>431</v>
      </c>
      <c r="E80" s="1816"/>
      <c r="F80" s="1817"/>
      <c r="G80" s="1815" t="s">
        <v>370</v>
      </c>
      <c r="H80" s="1816"/>
      <c r="I80" s="1817"/>
      <c r="J80" s="1815" t="s">
        <v>490</v>
      </c>
      <c r="K80" s="1816"/>
      <c r="L80" s="1817"/>
      <c r="M80" s="1815" t="s">
        <v>808</v>
      </c>
      <c r="N80" s="1816"/>
      <c r="O80" s="1817"/>
      <c r="P80" s="1361"/>
      <c r="Q80" s="1361"/>
      <c r="R80" s="1438"/>
      <c r="S80" s="1361"/>
      <c r="T80" s="1361"/>
      <c r="U80" s="1463"/>
      <c r="AE80"/>
      <c r="AF80"/>
      <c r="AG80"/>
    </row>
    <row r="81" spans="1:33" x14ac:dyDescent="0.25">
      <c r="A81" s="138" t="s">
        <v>809</v>
      </c>
      <c r="B81" s="44"/>
      <c r="C81" s="1228">
        <v>0</v>
      </c>
      <c r="D81" s="1837" t="s">
        <v>809</v>
      </c>
      <c r="E81" s="1838"/>
      <c r="F81" s="1228">
        <v>0</v>
      </c>
      <c r="G81" s="1837" t="s">
        <v>809</v>
      </c>
      <c r="H81" s="1838"/>
      <c r="I81" s="1228">
        <v>0</v>
      </c>
      <c r="J81" s="1837" t="s">
        <v>809</v>
      </c>
      <c r="K81" s="1838"/>
      <c r="L81" s="1228">
        <v>0</v>
      </c>
      <c r="M81" s="1837" t="s">
        <v>809</v>
      </c>
      <c r="N81" s="1838"/>
      <c r="O81" s="1228">
        <f>Репульсин_альфа_снижение_урона+Репульсин_бета_снижение_урона+Репульсин_альфа_М_снижение_урона+Репульсин_бета_М_снижение_урона</f>
        <v>0</v>
      </c>
      <c r="P81" s="1361"/>
      <c r="Q81" s="1361"/>
      <c r="R81" s="1438"/>
      <c r="S81" s="1361"/>
      <c r="T81" s="1361"/>
      <c r="U81" s="1463"/>
      <c r="AE81"/>
      <c r="AF81"/>
      <c r="AG81"/>
    </row>
    <row r="82" spans="1:33" ht="16.5" thickBot="1" x14ac:dyDescent="0.3">
      <c r="A82" s="1559" t="s">
        <v>299</v>
      </c>
      <c r="B82" s="1560"/>
      <c r="C82" s="1226">
        <v>0</v>
      </c>
      <c r="D82" s="1827" t="s">
        <v>299</v>
      </c>
      <c r="E82" s="1828"/>
      <c r="F82" s="1226">
        <v>0</v>
      </c>
      <c r="G82" s="1827" t="s">
        <v>299</v>
      </c>
      <c r="H82" s="1828"/>
      <c r="I82" s="1226">
        <v>0</v>
      </c>
      <c r="J82" s="1827" t="s">
        <v>299</v>
      </c>
      <c r="K82" s="1828"/>
      <c r="L82" s="1226">
        <v>0</v>
      </c>
      <c r="M82" s="1827" t="s">
        <v>299</v>
      </c>
      <c r="N82" s="1828"/>
      <c r="O82" s="1226">
        <f>Репульсин_альфа_крит._защита+Репульсин_бета_крит._защита+Репульсин_альфа_М_крит._защита+Репульсин_бета_М_крит._защита</f>
        <v>0</v>
      </c>
      <c r="P82" s="1361"/>
      <c r="Q82" s="1361"/>
      <c r="R82" s="1438"/>
      <c r="S82" s="1361"/>
      <c r="T82" s="1361"/>
      <c r="U82" s="1463"/>
      <c r="AE82"/>
      <c r="AF82"/>
      <c r="AG82"/>
    </row>
    <row r="83" spans="1:33" x14ac:dyDescent="0.25">
      <c r="A83" s="1815" t="s">
        <v>484</v>
      </c>
      <c r="B83" s="1816"/>
      <c r="C83" s="1817"/>
      <c r="D83" s="1815" t="s">
        <v>486</v>
      </c>
      <c r="E83" s="1816"/>
      <c r="F83" s="1817"/>
      <c r="G83" s="1815" t="s">
        <v>485</v>
      </c>
      <c r="H83" s="1816"/>
      <c r="I83" s="1817"/>
      <c r="J83" s="1815" t="s">
        <v>487</v>
      </c>
      <c r="K83" s="1816"/>
      <c r="L83" s="1817"/>
      <c r="M83" s="1815" t="s">
        <v>808</v>
      </c>
      <c r="N83" s="1816"/>
      <c r="O83" s="1817"/>
      <c r="P83" s="1361"/>
      <c r="Q83" s="1361"/>
      <c r="R83" s="1438"/>
      <c r="S83" s="1361"/>
      <c r="T83" s="1361"/>
      <c r="U83" s="1463"/>
      <c r="AE83"/>
      <c r="AF83"/>
      <c r="AG83"/>
    </row>
    <row r="84" spans="1:33" x14ac:dyDescent="0.25">
      <c r="A84" s="138" t="s">
        <v>780</v>
      </c>
      <c r="B84" s="44"/>
      <c r="C84" s="1228">
        <v>0</v>
      </c>
      <c r="D84" s="1837" t="s">
        <v>780</v>
      </c>
      <c r="E84" s="1838"/>
      <c r="F84" s="1228">
        <v>0</v>
      </c>
      <c r="G84" s="1837" t="s">
        <v>780</v>
      </c>
      <c r="H84" s="1838"/>
      <c r="I84" s="1228">
        <v>0</v>
      </c>
      <c r="J84" s="1837" t="s">
        <v>780</v>
      </c>
      <c r="K84" s="1838"/>
      <c r="L84" s="1228">
        <v>0</v>
      </c>
      <c r="M84" s="1837" t="s">
        <v>780</v>
      </c>
      <c r="N84" s="1838"/>
      <c r="O84" s="1235">
        <f>Рекуперант_альфа_регенирация+Рекуперант_бета_регенирация+Рекуперант_альфа_М_регенирация+Рекуперант_бета_М_регенирация</f>
        <v>0</v>
      </c>
      <c r="P84" s="1361"/>
      <c r="Q84" s="1361"/>
      <c r="R84" s="1438"/>
      <c r="S84" s="1361"/>
      <c r="T84" s="1361"/>
      <c r="U84" s="1463"/>
      <c r="AE84"/>
      <c r="AF84"/>
      <c r="AG84"/>
    </row>
    <row r="85" spans="1:33" ht="16.5" thickBot="1" x14ac:dyDescent="0.3">
      <c r="A85" s="1827" t="s">
        <v>781</v>
      </c>
      <c r="B85" s="1828"/>
      <c r="C85" s="1227">
        <v>0</v>
      </c>
      <c r="D85" s="1827" t="s">
        <v>781</v>
      </c>
      <c r="E85" s="1828"/>
      <c r="F85" s="1226">
        <v>0</v>
      </c>
      <c r="G85" s="1827" t="s">
        <v>781</v>
      </c>
      <c r="H85" s="1828"/>
      <c r="I85" s="1226">
        <v>0</v>
      </c>
      <c r="J85" s="1827" t="s">
        <v>781</v>
      </c>
      <c r="K85" s="1828"/>
      <c r="L85" s="1226">
        <v>0</v>
      </c>
      <c r="M85" s="1827" t="s">
        <v>781</v>
      </c>
      <c r="N85" s="1828"/>
      <c r="O85" s="1234">
        <f>Рекуперант_альфа_востановление_эфф.+Рекуперант_бета_востановление_эфф.+Рекуперант_альфа_М_востановление_эфф.+Рекуперант_бета_М_востановление_эфф.</f>
        <v>0</v>
      </c>
      <c r="P85" s="1361"/>
      <c r="Q85" s="1361"/>
      <c r="R85" s="1438"/>
      <c r="S85" s="1361"/>
      <c r="T85" s="1361"/>
      <c r="U85" s="1463"/>
      <c r="AE85"/>
      <c r="AF85"/>
      <c r="AG85"/>
    </row>
    <row r="86" spans="1:33" x14ac:dyDescent="0.25">
      <c r="A86" s="1865" t="s">
        <v>453</v>
      </c>
      <c r="B86" s="1844"/>
      <c r="C86" s="1845"/>
      <c r="D86" s="1844" t="s">
        <v>454</v>
      </c>
      <c r="E86" s="1844"/>
      <c r="F86" s="1844"/>
      <c r="G86" s="1853" t="s">
        <v>455</v>
      </c>
      <c r="H86" s="1844"/>
      <c r="I86" s="1845"/>
      <c r="J86" s="1844" t="s">
        <v>456</v>
      </c>
      <c r="K86" s="1844"/>
      <c r="L86" s="1845"/>
      <c r="P86" s="1361"/>
      <c r="Q86" s="1361"/>
      <c r="R86" s="1438"/>
      <c r="S86" s="1361"/>
      <c r="T86" s="1361"/>
      <c r="U86" s="1463"/>
      <c r="AE86"/>
      <c r="AF86"/>
      <c r="AG86"/>
    </row>
    <row r="87" spans="1:33" ht="16.5" thickBot="1" x14ac:dyDescent="0.3">
      <c r="A87" s="96"/>
      <c r="B87" s="97"/>
      <c r="C87" s="1395"/>
      <c r="D87" s="97"/>
      <c r="E87" s="97"/>
      <c r="F87" s="1409"/>
      <c r="G87" s="98"/>
      <c r="H87" s="97"/>
      <c r="I87" s="1395"/>
      <c r="J87" s="97"/>
      <c r="K87" s="97"/>
      <c r="L87" s="1395"/>
      <c r="M87" s="1224"/>
      <c r="N87" s="1224"/>
      <c r="O87" s="1443"/>
      <c r="P87" s="1364"/>
      <c r="Q87" s="1364"/>
      <c r="R87" s="1428"/>
      <c r="S87" s="1364"/>
      <c r="T87" s="1364"/>
      <c r="U87" s="1464"/>
      <c r="AE87"/>
      <c r="AF87"/>
      <c r="AG87"/>
    </row>
    <row r="88" spans="1:33" ht="27" thickBot="1" x14ac:dyDescent="0.3">
      <c r="A88" s="1899" t="s">
        <v>397</v>
      </c>
      <c r="B88" s="1900"/>
      <c r="C88" s="1900"/>
      <c r="D88" s="1900"/>
      <c r="E88" s="1900"/>
      <c r="F88" s="1900"/>
      <c r="G88" s="1900"/>
      <c r="H88" s="1900"/>
      <c r="I88" s="1900"/>
      <c r="J88" s="1900"/>
      <c r="K88" s="1900"/>
      <c r="L88" s="1900"/>
      <c r="M88" s="1900"/>
      <c r="N88" s="1900"/>
      <c r="O88" s="1900"/>
      <c r="P88" s="1900"/>
      <c r="Q88" s="1900"/>
      <c r="R88" s="1900"/>
      <c r="S88" s="1900"/>
      <c r="T88" s="1900"/>
      <c r="U88" s="1900"/>
      <c r="AE88"/>
      <c r="AF88"/>
      <c r="AG88"/>
    </row>
    <row r="89" spans="1:33" x14ac:dyDescent="0.25">
      <c r="A89" s="1846" t="s">
        <v>67</v>
      </c>
      <c r="B89" s="1847"/>
      <c r="C89" s="1848"/>
      <c r="D89" s="1858" t="s">
        <v>402</v>
      </c>
      <c r="E89" s="1859"/>
      <c r="F89" s="1860"/>
      <c r="G89" s="1846" t="s">
        <v>240</v>
      </c>
      <c r="H89" s="1847"/>
      <c r="I89" s="1848"/>
      <c r="J89" s="1858" t="s">
        <v>241</v>
      </c>
      <c r="K89" s="1859"/>
      <c r="L89" s="1859"/>
      <c r="M89" s="1846" t="s">
        <v>398</v>
      </c>
      <c r="N89" s="1847"/>
      <c r="O89" s="1848"/>
      <c r="P89" s="1365"/>
      <c r="Q89" s="1365"/>
      <c r="R89" s="1455"/>
      <c r="S89" s="1365"/>
      <c r="T89" s="1365"/>
      <c r="U89" s="1462"/>
      <c r="AE89"/>
      <c r="AF89"/>
      <c r="AG89"/>
    </row>
    <row r="90" spans="1:33" x14ac:dyDescent="0.25">
      <c r="A90" s="1849" t="s">
        <v>69</v>
      </c>
      <c r="B90" s="1850"/>
      <c r="C90" s="1396">
        <f>Импланты!B13+Импланты!C13+Импланты!D13+Импланты!E13+Импланты!F13</f>
        <v>0</v>
      </c>
      <c r="D90" s="1357" t="s">
        <v>253</v>
      </c>
      <c r="E90" s="1245"/>
      <c r="F90" s="1410">
        <f>Импланты!C17+Импланты!E17+Импланты!G17</f>
        <v>0</v>
      </c>
      <c r="G90" s="1849" t="s">
        <v>279</v>
      </c>
      <c r="H90" s="1850"/>
      <c r="I90" s="1425">
        <f>Импланты!C24+Импланты!E24</f>
        <v>2</v>
      </c>
      <c r="J90" s="1866" t="s">
        <v>417</v>
      </c>
      <c r="K90" s="1867"/>
      <c r="L90" s="1435">
        <f>Импланты!B30+Импланты!D30+Импланты!F30+Импланты!G30</f>
        <v>0</v>
      </c>
      <c r="M90" s="1842" t="s">
        <v>146</v>
      </c>
      <c r="N90" s="1843"/>
      <c r="O90" s="1444">
        <f>Импланты!B3</f>
        <v>0</v>
      </c>
      <c r="P90" s="1361"/>
      <c r="Q90" s="1361"/>
      <c r="R90" s="1438"/>
      <c r="S90" s="1361"/>
      <c r="T90" s="1361"/>
      <c r="U90" s="1463"/>
      <c r="AE90"/>
      <c r="AF90"/>
      <c r="AG90"/>
    </row>
    <row r="91" spans="1:33" ht="16.5" thickBot="1" x14ac:dyDescent="0.3">
      <c r="A91" s="1849" t="s">
        <v>71</v>
      </c>
      <c r="B91" s="1850"/>
      <c r="C91" s="1397">
        <f>Импланты!C10+Импланты!E10+Импланты!G10</f>
        <v>0.11</v>
      </c>
      <c r="D91" s="1357" t="s">
        <v>399</v>
      </c>
      <c r="E91" s="1245"/>
      <c r="F91" s="1411">
        <f>Импланты!B18+Импланты!C18+Импланты!E18+Импланты!F18</f>
        <v>0</v>
      </c>
      <c r="G91" s="1849" t="s">
        <v>278</v>
      </c>
      <c r="H91" s="1850"/>
      <c r="I91" s="1426">
        <f>Импланты!C25+Импланты!D25+Импланты!E25</f>
        <v>0</v>
      </c>
      <c r="J91" s="1851" t="s">
        <v>418</v>
      </c>
      <c r="K91" s="1852"/>
      <c r="L91" s="1436">
        <f>Импланты!C31+Импланты!D31+Импланты!E31+Импланты!F31+Импланты!G31</f>
        <v>0</v>
      </c>
      <c r="M91" s="1842" t="s">
        <v>147</v>
      </c>
      <c r="N91" s="1843"/>
      <c r="O91" s="1445">
        <f>Импланты!C4</f>
        <v>0</v>
      </c>
      <c r="P91" s="1361"/>
      <c r="Q91" s="1361"/>
      <c r="R91" s="1438"/>
      <c r="S91" s="1361"/>
      <c r="T91" s="1361"/>
      <c r="U91" s="1463"/>
      <c r="AE91"/>
      <c r="AF91"/>
      <c r="AG91"/>
    </row>
    <row r="92" spans="1:33" x14ac:dyDescent="0.25">
      <c r="A92" s="1849" t="s">
        <v>826</v>
      </c>
      <c r="B92" s="1850"/>
      <c r="C92" s="1397">
        <f>Импланты!B15+Импланты!C15+Импланты!D15+Импланты!E15+Импланты!F15+Импланты!G15</f>
        <v>0</v>
      </c>
      <c r="D92" s="1357" t="s">
        <v>400</v>
      </c>
      <c r="E92" s="1245"/>
      <c r="F92" s="1412">
        <f>Импланты!B19+Импланты!D19+Импланты!F19+Импланты!G19</f>
        <v>0</v>
      </c>
      <c r="G92" s="1849" t="s">
        <v>819</v>
      </c>
      <c r="H92" s="1850"/>
      <c r="I92" s="1397">
        <f>Импланты!E26+Импланты!F26+Импланты!G26</f>
        <v>0</v>
      </c>
      <c r="J92" s="1362"/>
      <c r="K92" s="1362"/>
      <c r="L92" s="1437"/>
      <c r="M92" s="1842" t="s">
        <v>148</v>
      </c>
      <c r="N92" s="1843"/>
      <c r="O92" s="1445">
        <f>Импланты!D5</f>
        <v>0</v>
      </c>
      <c r="P92" s="1361"/>
      <c r="Q92" s="1361"/>
      <c r="R92" s="1438"/>
      <c r="S92" s="1361"/>
      <c r="T92" s="1361"/>
      <c r="U92" s="1463"/>
      <c r="AE92"/>
      <c r="AF92"/>
      <c r="AG92"/>
    </row>
    <row r="93" spans="1:33" x14ac:dyDescent="0.25">
      <c r="A93" s="1849" t="s">
        <v>817</v>
      </c>
      <c r="B93" s="1850"/>
      <c r="C93" s="1397">
        <f>Импланты!B12+Импланты!C12+Импланты!D12+Импланты!E12+Импланты!F12+Импланты!G12</f>
        <v>0.12</v>
      </c>
      <c r="D93" s="1357" t="s">
        <v>255</v>
      </c>
      <c r="E93" s="1245"/>
      <c r="F93" s="1411">
        <f>Импланты!C20+Импланты!D20+Импланты!G20</f>
        <v>42</v>
      </c>
      <c r="G93" s="1360" t="s">
        <v>530</v>
      </c>
      <c r="H93" s="1246"/>
      <c r="I93" s="1427">
        <f>Импланты!C27+Импланты!D27+Импланты!G27</f>
        <v>0</v>
      </c>
      <c r="J93" s="1363"/>
      <c r="K93" s="1362"/>
      <c r="L93" s="1437"/>
      <c r="M93" s="1842" t="s">
        <v>379</v>
      </c>
      <c r="N93" s="1843"/>
      <c r="O93" s="1445">
        <f>Импланты!E6</f>
        <v>0</v>
      </c>
      <c r="P93" s="1361"/>
      <c r="Q93" s="1361"/>
      <c r="R93" s="1438"/>
      <c r="S93" s="1361"/>
      <c r="T93" s="1361"/>
      <c r="U93" s="1463"/>
      <c r="AE93"/>
      <c r="AF93"/>
      <c r="AG93"/>
    </row>
    <row r="94" spans="1:33" ht="16.5" thickBot="1" x14ac:dyDescent="0.3">
      <c r="A94" s="1849" t="s">
        <v>70</v>
      </c>
      <c r="B94" s="1850"/>
      <c r="C94" s="1397">
        <f>Импланты!B11+Импланты!D11+Импланты!F11</f>
        <v>0</v>
      </c>
      <c r="D94" s="1357" t="s">
        <v>297</v>
      </c>
      <c r="E94" s="1245"/>
      <c r="F94" s="1413">
        <f>Импланты!C21+Импланты!E21+Импланты!G21</f>
        <v>0</v>
      </c>
      <c r="G94" s="1840" t="s">
        <v>820</v>
      </c>
      <c r="H94" s="1841"/>
      <c r="I94" s="1398">
        <f>Импланты!C28+Импланты!D28+Импланты!G28</f>
        <v>0</v>
      </c>
      <c r="J94" s="1361"/>
      <c r="K94" s="1361"/>
      <c r="L94" s="1438"/>
      <c r="M94" s="1842" t="s">
        <v>150</v>
      </c>
      <c r="N94" s="1843"/>
      <c r="O94" s="1445">
        <f>Импланты!F7</f>
        <v>0</v>
      </c>
      <c r="P94" s="1361"/>
      <c r="Q94" s="1361"/>
      <c r="R94" s="1438"/>
      <c r="S94" s="1361"/>
      <c r="T94" s="1361"/>
      <c r="U94" s="1463"/>
      <c r="AE94"/>
      <c r="AF94"/>
      <c r="AG94"/>
    </row>
    <row r="95" spans="1:33" ht="16.5" thickBot="1" x14ac:dyDescent="0.3">
      <c r="A95" s="1840" t="s">
        <v>816</v>
      </c>
      <c r="B95" s="1841"/>
      <c r="C95" s="1398">
        <f>Импланты!C14+Импланты!D14+Импланты!E14+Импланты!F14+Импланты!G14</f>
        <v>0</v>
      </c>
      <c r="D95" s="1358" t="s">
        <v>401</v>
      </c>
      <c r="E95" s="1359"/>
      <c r="F95" s="1414">
        <f>Импланты!B22+Импланты!E22+Импланты!F22+Импланты!G22</f>
        <v>0</v>
      </c>
      <c r="G95" s="1364"/>
      <c r="H95" s="1364"/>
      <c r="I95" s="1428"/>
      <c r="J95" s="1364"/>
      <c r="K95" s="1364"/>
      <c r="L95" s="1428"/>
      <c r="M95" s="1840" t="s">
        <v>151</v>
      </c>
      <c r="N95" s="1841"/>
      <c r="O95" s="1446">
        <f>Импланты!G8</f>
        <v>0</v>
      </c>
      <c r="P95" s="1364"/>
      <c r="Q95" s="1364"/>
      <c r="R95" s="1428"/>
      <c r="S95" s="1364"/>
      <c r="T95" s="1364"/>
      <c r="U95" s="1464"/>
      <c r="AE95"/>
      <c r="AF95"/>
      <c r="AG95"/>
    </row>
    <row r="96" spans="1:33" ht="27" thickBot="1" x14ac:dyDescent="0.45">
      <c r="A96" s="1901" t="s">
        <v>460</v>
      </c>
      <c r="B96" s="1901"/>
      <c r="C96" s="1901"/>
      <c r="D96" s="1901"/>
      <c r="E96" s="1901"/>
      <c r="F96" s="1901"/>
      <c r="G96" s="1901"/>
      <c r="H96" s="1901"/>
      <c r="I96" s="1901"/>
      <c r="J96" s="1901"/>
      <c r="K96" s="1901"/>
      <c r="L96" s="1901"/>
      <c r="M96" s="1901"/>
      <c r="N96" s="1901"/>
      <c r="O96" s="1901"/>
      <c r="P96" s="1901"/>
      <c r="Q96" s="1901"/>
      <c r="R96" s="1901"/>
      <c r="S96" s="1901"/>
      <c r="T96" s="1901"/>
      <c r="U96" s="1901"/>
      <c r="AE96"/>
      <c r="AF96"/>
      <c r="AG96"/>
    </row>
    <row r="97" spans="1:33" s="1060" customFormat="1" x14ac:dyDescent="0.25">
      <c r="A97" s="1822" t="s">
        <v>749</v>
      </c>
      <c r="B97" s="1823"/>
      <c r="C97" s="1534">
        <f>'Таблицы ачивок'!K8</f>
        <v>0.02</v>
      </c>
      <c r="D97" s="1548" t="s">
        <v>921</v>
      </c>
      <c r="E97" s="1533"/>
      <c r="F97" s="1549">
        <f>'Таблицы ачивок'!G21</f>
        <v>2</v>
      </c>
      <c r="G97" s="1542" t="s">
        <v>746</v>
      </c>
      <c r="H97" s="1533"/>
      <c r="I97" s="1545">
        <f>'Таблицы ачивок'!C24</f>
        <v>0.27</v>
      </c>
      <c r="J97" s="1822" t="s">
        <v>53</v>
      </c>
      <c r="K97" s="1823"/>
      <c r="L97" s="1534">
        <f>'Таблицы ачивок'!G7</f>
        <v>0.05</v>
      </c>
      <c r="M97" s="1542" t="s">
        <v>750</v>
      </c>
      <c r="N97" s="1533"/>
      <c r="O97" s="1540">
        <f>'Таблицы ачивок'!K24</f>
        <v>0.1</v>
      </c>
      <c r="P97" s="1822" t="s">
        <v>751</v>
      </c>
      <c r="Q97" s="1823"/>
      <c r="R97" s="1534">
        <f>'Таблицы ачивок'!G15</f>
        <v>6.0000000000000005E-2</v>
      </c>
      <c r="S97" s="1542" t="s">
        <v>420</v>
      </c>
      <c r="T97" s="1533"/>
      <c r="U97" s="1534">
        <f>'Таблицы ачивок'!K4</f>
        <v>0.1</v>
      </c>
      <c r="X97" s="648"/>
    </row>
    <row r="98" spans="1:33" ht="16.5" thickBot="1" x14ac:dyDescent="0.3">
      <c r="A98" s="1535" t="s">
        <v>417</v>
      </c>
      <c r="B98" s="1536"/>
      <c r="C98" s="1587">
        <f>'Таблицы ачивок'!C39</f>
        <v>0.19999999999999998</v>
      </c>
      <c r="D98" s="1550" t="s">
        <v>530</v>
      </c>
      <c r="E98" s="1538"/>
      <c r="F98" s="1551">
        <f>'Таблицы ачивок'!K12</f>
        <v>1</v>
      </c>
      <c r="G98" s="1824" t="s">
        <v>426</v>
      </c>
      <c r="H98" s="1825"/>
      <c r="I98" s="1546">
        <f>'Таблицы ачивок'!K15</f>
        <v>0.05</v>
      </c>
      <c r="J98" s="1826" t="s">
        <v>114</v>
      </c>
      <c r="K98" s="1825"/>
      <c r="L98" s="1539">
        <f>'Таблицы ачивок'!K16</f>
        <v>0</v>
      </c>
      <c r="M98" s="1547" t="s">
        <v>752</v>
      </c>
      <c r="N98" s="1538"/>
      <c r="O98" s="1541">
        <f>'Таблицы ачивок'!K20</f>
        <v>0.5</v>
      </c>
      <c r="P98" s="1889" t="s">
        <v>724</v>
      </c>
      <c r="Q98" s="1890"/>
      <c r="R98" s="1544">
        <f>'Таблицы ачивок'!G24</f>
        <v>15</v>
      </c>
      <c r="S98" s="1543" t="s">
        <v>756</v>
      </c>
      <c r="T98" s="1537"/>
      <c r="U98" s="1539">
        <f>'Таблицы ачивок'!G27</f>
        <v>0</v>
      </c>
      <c r="AE98"/>
      <c r="AF98"/>
      <c r="AG98"/>
    </row>
    <row r="99" spans="1:33" ht="16.5" thickBot="1" x14ac:dyDescent="0.3">
      <c r="A99" s="91"/>
      <c r="B99" s="84"/>
      <c r="C99" s="1400"/>
      <c r="D99" s="84"/>
      <c r="E99" s="84"/>
      <c r="F99" s="1400"/>
      <c r="G99" s="84"/>
      <c r="H99" s="84"/>
      <c r="I99" s="1400"/>
      <c r="J99" s="84"/>
      <c r="K99" s="84"/>
      <c r="L99" s="1400"/>
      <c r="M99" s="84"/>
      <c r="N99" s="84"/>
      <c r="O99" s="1400"/>
      <c r="P99" s="84"/>
      <c r="Q99" s="84"/>
      <c r="R99" s="1400"/>
      <c r="S99" s="84"/>
      <c r="T99" s="84"/>
      <c r="U99" s="1461"/>
      <c r="AE99"/>
      <c r="AF99"/>
      <c r="AG99"/>
    </row>
    <row r="100" spans="1:33" ht="27" thickBot="1" x14ac:dyDescent="0.3">
      <c r="A100" s="1896" t="s">
        <v>881</v>
      </c>
      <c r="B100" s="1896"/>
      <c r="C100" s="1896"/>
      <c r="D100" s="1896"/>
      <c r="E100" s="1896"/>
      <c r="F100" s="1896"/>
      <c r="G100" s="1896"/>
      <c r="H100" s="1896"/>
      <c r="I100" s="1896"/>
      <c r="J100" s="1896"/>
      <c r="K100" s="1896"/>
      <c r="L100" s="1896"/>
      <c r="M100" s="1896"/>
      <c r="N100" s="1896"/>
      <c r="O100" s="1896"/>
      <c r="P100" s="1896"/>
      <c r="Q100" s="1896"/>
      <c r="R100" s="1896"/>
      <c r="S100" s="1896"/>
      <c r="T100" s="1896"/>
      <c r="U100" s="1896"/>
      <c r="AE100"/>
      <c r="AF100"/>
      <c r="AG100"/>
    </row>
    <row r="101" spans="1:33" x14ac:dyDescent="0.25">
      <c r="A101" s="1877" t="s">
        <v>414</v>
      </c>
      <c r="B101" s="1878"/>
      <c r="C101" s="1939"/>
      <c r="D101" s="1877" t="s">
        <v>415</v>
      </c>
      <c r="E101" s="1878"/>
      <c r="F101" s="1939"/>
      <c r="G101" s="1877" t="s">
        <v>822</v>
      </c>
      <c r="H101" s="1878"/>
      <c r="I101" s="1939"/>
      <c r="J101" s="1877" t="s">
        <v>823</v>
      </c>
      <c r="K101" s="1878"/>
      <c r="L101" s="1939"/>
      <c r="M101" s="1815" t="s">
        <v>269</v>
      </c>
      <c r="N101" s="1816"/>
      <c r="O101" s="1817"/>
      <c r="P101" s="1815" t="s">
        <v>409</v>
      </c>
      <c r="Q101" s="1816"/>
      <c r="R101" s="1817"/>
      <c r="AE101"/>
      <c r="AF101"/>
      <c r="AG101"/>
    </row>
    <row r="102" spans="1:33" ht="16.5" thickBot="1" x14ac:dyDescent="0.3">
      <c r="A102" s="1886" t="s">
        <v>69</v>
      </c>
      <c r="B102" s="1850"/>
      <c r="C102" s="1383">
        <f>VLOOKUP(Импланты!J3,'Таблицы имплантов'!A2:K8,3,0)</f>
        <v>0</v>
      </c>
      <c r="D102" s="1837" t="s">
        <v>417</v>
      </c>
      <c r="E102" s="1838"/>
      <c r="F102" s="1384">
        <f>VLOOKUP(Импланты!J6,'Таблицы имплантов'!A28:K35,3,0)</f>
        <v>0</v>
      </c>
      <c r="G102" s="1833" t="s">
        <v>838</v>
      </c>
      <c r="H102" s="1839"/>
      <c r="I102" s="1429">
        <f>IF(OR(Примерочная!A2="казак-4",Примерочная!A2="штурм",Примерочная!A2="скат",Примерочная!A2="Aar/2 VEGA",Примерочная!A2="Devastator",Примерочная!A2="Гром",Примерочная!A2="Тайфун",Примерочная!A2="Kronos"),VLOOKUP(Импланты!J11,'Таблицы имплантов'!A73:K80,3,0),0)</f>
        <v>0</v>
      </c>
      <c r="J102" s="1837" t="s">
        <v>838</v>
      </c>
      <c r="K102" s="1838"/>
      <c r="L102" s="1429">
        <f>IF(OR(Примерочная!A2="казак-4",Примерочная!A2="штурм",Примерочная!A2="скат",Примерочная!A2="Aar/2 VEGA",Примерочная!A2="Devastator",Примерочная!A2="Гром",Примерочная!A2="Тайфун",Примерочная!A2="Kronos"),VLOOKUP(Импланты!J15,'Таблицы имплантов'!A109:K116,3,0),0)</f>
        <v>0</v>
      </c>
      <c r="M102" s="1837" t="s">
        <v>417</v>
      </c>
      <c r="N102" s="1917"/>
      <c r="O102" s="1447">
        <f>VLOOKUP(Импланты!J19,'Таблицы имплантов'!A145:K152,3,0)</f>
        <v>0</v>
      </c>
      <c r="P102" s="1835" t="s">
        <v>855</v>
      </c>
      <c r="Q102" s="1836"/>
      <c r="R102" s="1456">
        <f>VLOOKUP(Импланты!J22,'Таблицы имплантов'!A172:K179,3,0)</f>
        <v>0</v>
      </c>
      <c r="AE102"/>
      <c r="AF102"/>
      <c r="AG102"/>
    </row>
    <row r="103" spans="1:33" x14ac:dyDescent="0.25">
      <c r="A103" s="1886" t="s">
        <v>375</v>
      </c>
      <c r="B103" s="1850"/>
      <c r="C103" s="1384">
        <f>VLOOKUP(Импланты!J3,'Таблицы имплантов'!A2:K8,5,0)</f>
        <v>0</v>
      </c>
      <c r="D103" s="1837" t="s">
        <v>418</v>
      </c>
      <c r="E103" s="1838"/>
      <c r="F103" s="1384">
        <f>VLOOKUP(Импланты!J6,'Таблицы имплантов'!A28:K35,5,0)</f>
        <v>0</v>
      </c>
      <c r="G103" s="1837" t="s">
        <v>839</v>
      </c>
      <c r="H103" s="1838"/>
      <c r="I103" s="1384">
        <f>IF(OR(Примерочная!V2="Galil AR",Примерочная!V2="AK-47",Примерочная!V2="M16",Примерочная!V2="Beretta ARX-160",Примерочная!V2="L85",Примерочная!V2="AK-74M",Примерочная!V2="HK G3",Примерочная!V2="ОЦ-14 Гроза",Примерочная!V2="Steyr AUG",Примерочная!V2="G36C",Примерочная!V2="SIG516",Примерочная!V2="FN SCAR",Примерочная!V2="HK 416",Примерочная!V2="Tavor TAR-21",Примерочная!V2="AH-94 Абакан",Примерочная!V2="АС Вал",Примерочная!V2="АЕК-973",Примерочная!V2="АК-9",Примерочная!V2="FN F2000",Примерочная!V2="DXT-5",Примерочная!V2="DS-1 Desert Shark",Примерочная!V2="PQ-17 Шквал",Примерочная!V2="АМ-14 Мгла",Примерочная!V2="Fury Rage"),VLOOKUP(Импланты!J11,'Таблицы имплантов'!A73:K80,5,0),0)</f>
        <v>0</v>
      </c>
      <c r="J103" s="1837" t="s">
        <v>846</v>
      </c>
      <c r="K103" s="1838"/>
      <c r="L103" s="1384">
        <f>IF(OR(Примерочная!V2="РПК",Примерочная!V2="Тип 67",Примерочная!V2="М60",Примерочная!V2="М249 SAW",Примерочная!V2="M240",Примерочная!V2="HK MG4",Примерочная!V2="Mk48",Примерочная!V2="ПКП Печенег",Примерочная!V2="ПКМ",Примерочная!V2="Утес М",Примерочная!V2="LCS-450 Dracula",Примерочная!V2="NS-1 Каратель",Примерочная!V2="Hellstorm"),VLOOKUP(Импланты!J15,'Таблицы имплантов'!A109:K116,5,0),0)</f>
        <v>0</v>
      </c>
      <c r="M103" s="1837" t="s">
        <v>565</v>
      </c>
      <c r="N103" s="1917"/>
      <c r="O103" s="1448">
        <f>VLOOKUP(Импланты!J19,'Таблицы имплантов'!A145:K152,5,0)</f>
        <v>0</v>
      </c>
      <c r="P103" s="1877" t="s">
        <v>407</v>
      </c>
      <c r="Q103" s="1878"/>
      <c r="R103" s="1939"/>
      <c r="AE103"/>
      <c r="AF103"/>
      <c r="AG103"/>
    </row>
    <row r="104" spans="1:33" ht="16.5" thickBot="1" x14ac:dyDescent="0.3">
      <c r="A104" s="1886" t="s">
        <v>868</v>
      </c>
      <c r="B104" s="1850"/>
      <c r="C104" s="1384">
        <f>VLOOKUP(Импланты!J3,'Таблицы имплантов'!A2:K8,7,0)</f>
        <v>0</v>
      </c>
      <c r="D104" s="1827" t="s">
        <v>871</v>
      </c>
      <c r="E104" s="1828"/>
      <c r="F104" s="1385">
        <f>VLOOKUP(Импланты!J6,'Таблицы имплантов'!A28:K35,7,0)</f>
        <v>0</v>
      </c>
      <c r="G104" s="1837" t="s">
        <v>840</v>
      </c>
      <c r="H104" s="1838"/>
      <c r="I104" s="1419">
        <f>IF(OR(Примерочная!A2="казак-4",Примерочная!A2="штурм",Примерочная!A2="скат",Примерочная!A2="Aar/2 VEGA",Примерочная!A2="Devastator",Примерочная!A2="Гром",Примерочная!A2="Тайфун",Примерочная!A2="Kronos"),VLOOKUP(Импланты!J11,'Таблицы имплантов'!A73:K80,7,0),0)</f>
        <v>0</v>
      </c>
      <c r="J104" s="1837" t="s">
        <v>847</v>
      </c>
      <c r="K104" s="1838"/>
      <c r="L104" s="1419">
        <f>IF(OR(Примерочная!V2="РПК",Примерочная!V2="Тип 67",Примерочная!V2="М60",Примерочная!V2="М249 SAW",Примерочная!V2="M240",Примерочная!V2="HK MG4",Примерочная!V2="Mk48",Примерочная!V2="ПКП Печенег",Примерочная!V2="ПКМ",Примерочная!V2="Утес М",Примерочная!V2="LCS-450 Dracula",Примерочная!V2="NS-1 Каратель",Примерочная!V2="Hellstorm"),VLOOKUP(Импланты!J15,'Таблицы имплантов'!A109:K116,7,0),0)</f>
        <v>0</v>
      </c>
      <c r="M104" s="1837" t="s">
        <v>854</v>
      </c>
      <c r="N104" s="1917"/>
      <c r="O104" s="1449">
        <f>VLOOKUP(Импланты!J19,'Таблицы имплантов'!A145:K152,7,0)</f>
        <v>0</v>
      </c>
      <c r="P104" s="1837" t="s">
        <v>859</v>
      </c>
      <c r="Q104" s="1838"/>
      <c r="R104" s="1429">
        <f>VLOOKUP(Импланты!J23,'Таблицы имплантов'!A181:K188,3,0)</f>
        <v>0</v>
      </c>
      <c r="AE104"/>
      <c r="AF104"/>
      <c r="AG104"/>
    </row>
    <row r="105" spans="1:33" x14ac:dyDescent="0.25">
      <c r="A105" s="1886" t="s">
        <v>70</v>
      </c>
      <c r="B105" s="1850"/>
      <c r="C105" s="1384">
        <f>VLOOKUP(Импланты!J3,'Таблицы имплантов'!A2:K8,9,0)</f>
        <v>0</v>
      </c>
      <c r="D105" s="1815" t="s">
        <v>262</v>
      </c>
      <c r="E105" s="1816"/>
      <c r="F105" s="1817"/>
      <c r="G105" s="1837" t="s">
        <v>841</v>
      </c>
      <c r="H105" s="1838"/>
      <c r="I105" s="1384">
        <f>IF(OR(Примерочная!A2="казак-4",Примерочная!A2="штурм",Примерочная!A2="скат",Примерочная!A2="Aar/2 VEGA",Примерочная!A2="Devastator",Примерочная!A2="Гром",Примерочная!A2="Тайфун",Примерочная!A2="Kronos"),VLOOKUP(Импланты!J11,'Таблицы имплантов'!A73:K80,9,0),0)</f>
        <v>0</v>
      </c>
      <c r="J105" s="1837" t="s">
        <v>841</v>
      </c>
      <c r="K105" s="1838"/>
      <c r="L105" s="1384">
        <f>IF(OR(Примерочная!A2="казак-4",Примерочная!A2="штурм",Примерочная!A2="скат",Примерочная!A2="Aar/2 VEGA",Примерочная!A2="Devastator",Примерочная!A2="Гром",Примерочная!A2="Тайфун",Примерочная!A2="Kronos"),VLOOKUP(Импланты!J15,'Таблицы имплантов'!A109:K116,9,0),0)</f>
        <v>0</v>
      </c>
      <c r="M105" s="1837" t="s">
        <v>855</v>
      </c>
      <c r="N105" s="1917"/>
      <c r="O105" s="1449">
        <f>VLOOKUP(Импланты!J19,'Таблицы имплантов'!A145:K152,9,0)</f>
        <v>0</v>
      </c>
      <c r="P105" s="1837" t="s">
        <v>856</v>
      </c>
      <c r="Q105" s="1838"/>
      <c r="R105" s="1419">
        <f>VLOOKUP(Импланты!J23,'Таблицы имплантов'!A181:K188,5,0)</f>
        <v>0</v>
      </c>
      <c r="AE105"/>
      <c r="AF105"/>
      <c r="AG105"/>
    </row>
    <row r="106" spans="1:33" ht="16.5" thickBot="1" x14ac:dyDescent="0.3">
      <c r="A106" s="1913" t="s">
        <v>71</v>
      </c>
      <c r="B106" s="1914"/>
      <c r="C106" s="1385">
        <f>VLOOKUP(Импланты!J3,'Таблицы имплантов'!A2:K8,11,0)</f>
        <v>0</v>
      </c>
      <c r="D106" s="1854" t="s">
        <v>530</v>
      </c>
      <c r="E106" s="1855"/>
      <c r="F106" s="1415">
        <f>IFERROR(VLOOKUP(Импланты!J7,'Таблицы имплантов'!A37:K44,3,0),0)</f>
        <v>0</v>
      </c>
      <c r="G106" s="1827" t="s">
        <v>10</v>
      </c>
      <c r="H106" s="1828"/>
      <c r="I106" s="1385">
        <f>IF(OR(Примерочная!V2="Galil AR",Примерочная!V2="AK-47",Примерочная!V2="M16",Примерочная!V2="Beretta ARX-160",Примерочная!V2="L85",Примерочная!V2="AK-74M",Примерочная!V2="HK G3",Примерочная!V2="ОЦ-14 Гроза",Примерочная!V2="Steyr AUG",Примерочная!V2="G36C",Примерочная!V2="SIG516",Примерочная!V2="FN SCAR",Примерочная!V2="HK 416",Примерочная!V2="Tavor TAR-21",Примерочная!V2="AH-94 Абакан",Примерочная!V2="АС Вал",Примерочная!V2="АЕК-973",Примерочная!V2="АК-9",Примерочная!V2="FN F2000",Примерочная!V2="DXT-5",Примерочная!V2="DS-1 Desert Shark",Примерочная!V2="PQ-17 Шквал",Примерочная!V2="АМ-14 Мгла",Примерочная!V2="Fury Rage"),VLOOKUP(Импланты!J11,'Таблицы имплантов'!A73:K80,11,0),0)</f>
        <v>0</v>
      </c>
      <c r="J106" s="1827" t="s">
        <v>848</v>
      </c>
      <c r="K106" s="1828"/>
      <c r="L106" s="1385">
        <f>IF(OR(Примерочная!V2="РПК",Примерочная!V2="Тип 67",Примерочная!V2="М60",Примерочная!V2="М249 SAW",Примерочная!V2="M240",Примерочная!V2="HK MG4",Примерочная!V2="Mk48",Примерочная!V2="ПКП Печенег",Примерочная!V2="ПКМ",Примерочная!V2="Утес М",Примерочная!V2="LCS-450 Dracula",Примерочная!V2="NS-1 Каратель",Примерочная!V2="Hellstorm"),VLOOKUP(Импланты!J15,'Таблицы имплантов'!A109:K116,11,0),0)</f>
        <v>0</v>
      </c>
      <c r="M106" s="1827" t="s">
        <v>831</v>
      </c>
      <c r="N106" s="1948"/>
      <c r="O106" s="1450">
        <f>VLOOKUP(Импланты!J19,'Таблицы имплантов'!A145:K152,11,0)</f>
        <v>0</v>
      </c>
      <c r="P106" s="1837" t="s">
        <v>842</v>
      </c>
      <c r="Q106" s="1838"/>
      <c r="R106" s="1419">
        <f>VLOOKUP(Импланты!J23,'Таблицы имплантов'!A181:K188,7,0)</f>
        <v>0</v>
      </c>
      <c r="AE106"/>
      <c r="AF106"/>
      <c r="AG106"/>
    </row>
    <row r="107" spans="1:33" ht="16.5" thickBot="1" x14ac:dyDescent="0.3">
      <c r="A107" s="1815" t="s">
        <v>427</v>
      </c>
      <c r="B107" s="1816"/>
      <c r="C107" s="1817"/>
      <c r="D107" s="1854" t="s">
        <v>872</v>
      </c>
      <c r="E107" s="1855"/>
      <c r="F107" s="1416">
        <f>IFERROR(VLOOKUP(Импланты!J7,'Таблицы имплантов'!A37:K44,5,0),0)</f>
        <v>0</v>
      </c>
      <c r="G107" s="1877" t="s">
        <v>419</v>
      </c>
      <c r="H107" s="1878"/>
      <c r="I107" s="1939"/>
      <c r="J107" s="1815" t="s">
        <v>849</v>
      </c>
      <c r="K107" s="1816"/>
      <c r="L107" s="1817"/>
      <c r="M107" s="1877" t="s">
        <v>272</v>
      </c>
      <c r="N107" s="1878"/>
      <c r="O107" s="1878"/>
      <c r="P107" s="1827" t="s">
        <v>279</v>
      </c>
      <c r="Q107" s="1828"/>
      <c r="R107" s="1401">
        <f>VLOOKUP(Импланты!J23,'Таблицы имплантов'!A181:K188,9,0)</f>
        <v>0</v>
      </c>
      <c r="AE107"/>
      <c r="AF107"/>
      <c r="AG107"/>
    </row>
    <row r="108" spans="1:33" ht="16.5" thickBot="1" x14ac:dyDescent="0.3">
      <c r="A108" s="1837" t="s">
        <v>827</v>
      </c>
      <c r="B108" s="1838"/>
      <c r="C108" s="1383">
        <f>IF(OR(Примерочная!V2="UZI",Примерочная!V2="Scorpion-61",Примерочная!V2="ПП-9 Клин",Примерочная!V2="HK MP-5",Примерочная!V2="Steyr TMP",Примерочная!V2="П-19 Бизон",Примерочная!V2="HK UMP-9",Примерочная!V2="ПП-2000",Примерочная!V2="АЕК-919К Каштан",Примерочная!V2="HK MP-7",Примерочная!V2="P90",Примерочная!V2="BDP 13 ",Примерочная!V2="Wasp",Примерочная!V2="Hornet",Примерочная!V2="ПМ",Примерочная!V2="ТТ",Примерочная!V2="Beretta 92",Примерочная!V2="Glock 17",Примерочная!V2="МР-443 Грач",Примерочная!V2="FN Browning BDM",Примерочная!V2="Steyr M-A1",Примерочная!V2="СР-1 Вектор",Примерочная!V2="HK UCP",Примерочная!V2="Five-seveN",Примерочная!V2="BDP x6",Примерочная!V2="D-87",Примерочная!V2="Sting",Примерочная!V2="Thorn"),VLOOKUP(Импланты!J4,'Таблицы имплантов'!A10:K17,3,0),0)</f>
        <v>0</v>
      </c>
      <c r="D108" s="1820" t="s">
        <v>873</v>
      </c>
      <c r="E108" s="1821"/>
      <c r="F108" s="1417">
        <f>IFERROR(VLOOKUP(Импланты!J7,'Таблицы имплантов'!A37:K44,7,0),0)</f>
        <v>0</v>
      </c>
      <c r="G108" s="1886" t="s">
        <v>709</v>
      </c>
      <c r="H108" s="1850"/>
      <c r="I108" s="1383">
        <f>VLOOKUP(Импланты!J12,'Таблицы имплантов'!A82:K89,3,0)</f>
        <v>0</v>
      </c>
      <c r="J108" s="1833" t="s">
        <v>850</v>
      </c>
      <c r="K108" s="1839"/>
      <c r="L108" s="1383">
        <f>VLOOKUP(Импланты!J16,'Таблицы имплантов'!A118:K1259,3,0)</f>
        <v>0</v>
      </c>
      <c r="M108" s="1886" t="s">
        <v>856</v>
      </c>
      <c r="N108" s="1850"/>
      <c r="O108" s="1451">
        <f>IF(OR(Примерочная!V2="UZI",Примерочная!V2="Scorpion-61",Примерочная!V2="ПП-9 Клин",Примерочная!V2="HK MP-5",Примерочная!V2="Steyr TMP",Примерочная!V2="П-19 Бизон",Примерочная!V2="HK UMP-9",Примерочная!V2="ПП-2000",Примерочная!V2="АЕК-919К Каштан",Примерочная!V2="HK MP-7",Примерочная!V2="P90",Примерочная!V2="BDP 13 ",Примерочная!V2="Wasp",Примерочная!V2="Hornet",Примерочная!V2="ПМ",Примерочная!V2="ТТ",Примерочная!V2="Beretta 92",Примерочная!V2="Glock 17",Примерочная!V2="МР-443 Грач",Примерочная!V2="FN Browning BDM",Примерочная!V2="Steyr M-A1",Примерочная!V2="СР-1 Вектор",Примерочная!V2="HK UCP",Примерочная!V2="Five-seveN",Примерочная!V2="BDP x6",Примерочная!V2="D-87",Примерочная!V2="Sting",Примерочная!V2="Thorn"),VLOOKUP(Импланты!J20,'Таблицы имплантов'!A154:K161,3,0),0)</f>
        <v>0</v>
      </c>
      <c r="P108" s="1815" t="s">
        <v>412</v>
      </c>
      <c r="Q108" s="1816"/>
      <c r="R108" s="1817"/>
      <c r="AE108"/>
      <c r="AF108"/>
      <c r="AG108"/>
    </row>
    <row r="109" spans="1:33" ht="16.5" thickBot="1" x14ac:dyDescent="0.3">
      <c r="A109" s="1837" t="s">
        <v>869</v>
      </c>
      <c r="B109" s="1838"/>
      <c r="C109" s="1384">
        <f>IF(OR(Примерочная!V2="UZI",Примерочная!V2="Scorpion-61",Примерочная!V2="ПП-9 Клин",Примерочная!V2="HK MP-5",Примерочная!V2="Steyr TMP",Примерочная!V2="П-19 Бизон",Примерочная!V2="HK UMP-9",Примерочная!V2="ПП-2000",Примерочная!V2="АЕК-919К Каштан",Примерочная!V2="HK MP-7",Примерочная!V2="P90",Примерочная!V2="BDP 13 ",Примерочная!V2="Wasp",Примерочная!V2="Hornet",Примерочная!V2="ПМ",Примерочная!V2="ТТ",Примерочная!V2="Beretta 92",Примерочная!V2="Glock 17",Примерочная!V2="МР-443 Грач",Примерочная!V2="FN Browning BDM",Примерочная!V2="Steyr M-A1",Примерочная!V2="СР-1 Вектор",Примерочная!V2="HK UCP",Примерочная!V2="Five-seveN",Примерочная!V2="BDP x6",Примерочная!V2="D-87",Примерочная!V2="Sting",Примерочная!V2="Thorn"),VLOOKUP(Импланты!J4,'Таблицы имплантов'!A10:K17,5,0),0)</f>
        <v>0</v>
      </c>
      <c r="D109" s="1815" t="s">
        <v>874</v>
      </c>
      <c r="E109" s="1816"/>
      <c r="F109" s="1817"/>
      <c r="G109" s="1913" t="s">
        <v>842</v>
      </c>
      <c r="H109" s="1914"/>
      <c r="I109" s="1226">
        <f>VLOOKUP(Импланты!J12,'Таблицы имплантов'!A82:K89,5,0)</f>
        <v>0</v>
      </c>
      <c r="J109" s="1837" t="s">
        <v>851</v>
      </c>
      <c r="K109" s="1838"/>
      <c r="L109" s="1384">
        <f>VLOOKUP(Импланты!J16,'Таблицы имплантов'!A118:K1259,5,0)</f>
        <v>0</v>
      </c>
      <c r="M109" s="1886" t="s">
        <v>827</v>
      </c>
      <c r="N109" s="1850"/>
      <c r="O109" s="1384">
        <f>IF(OR(Примерочная!V2="UZI",Примерочная!V2="Scorpion-61",Примерочная!V2="ПП-9 Клин",Примерочная!V2="HK MP-5",Примерочная!V2="Steyr TMP",Примерочная!V2="П-19 Бизон",Примерочная!V2="HK UMP-9",Примерочная!V2="ПП-2000",Примерочная!V2="АЕК-919К Каштан",Примерочная!V2="HK MP-7",Примерочная!V2="P90",Примерочная!V2="BDP 13 ",Примерочная!V2="Wasp",Примерочная!V2="Hornet",Примерочная!V2="ПМ",Примерочная!V2="ТТ",Примерочная!V2="Beretta 92",Примерочная!V2="Glock 17",Примерочная!V2="МР-443 Грач",Примерочная!V2="FN Browning BDM",Примерочная!V2="Steyr M-A1",Примерочная!V2="СР-1 Вектор",Примерочная!V2="HK UCP",Примерочная!V2="Five-seveN",Примерочная!V2="BDP x6",Примерочная!V2="D-87",Примерочная!V2="Sting",Примерочная!V2="Thorn"),VLOOKUP(Импланты!J20,'Таблицы имплантов'!A154:K161,5,0),0)</f>
        <v>0</v>
      </c>
      <c r="P109" s="1837" t="s">
        <v>709</v>
      </c>
      <c r="Q109" s="1838"/>
      <c r="R109" s="1228">
        <f>VLOOKUP(Импланты!J24,'Таблицы имплантов'!A190:K197,3,0)</f>
        <v>0</v>
      </c>
      <c r="AE109"/>
      <c r="AF109"/>
      <c r="AG109"/>
    </row>
    <row r="110" spans="1:33" ht="16.5" thickBot="1" x14ac:dyDescent="0.3">
      <c r="A110" s="1837" t="s">
        <v>870</v>
      </c>
      <c r="B110" s="1838"/>
      <c r="C110" s="1384">
        <f>IF(OR(Примерочная!V2="UZI",Примерочная!V2="Scorpion-61",Примерочная!V2="ПП-9 Клин",Примерочная!V2="HK MP-5",Примерочная!V2="Steyr TMP",Примерочная!V2="П-19 Бизон",Примерочная!V2="HK UMP-9",Примерочная!V2="ПП-2000",Примерочная!V2="АЕК-919К Каштан",Примерочная!V2="HK MP-7",Примерочная!V2="P90",Примерочная!V2="BDP 13 ",Примерочная!V2="Wasp",Примерочная!V2="Hornet",Примерочная!V2="ПМ",Примерочная!V2="ТТ",Примерочная!V2="Beretta 92",Примерочная!V2="Glock 17",Примерочная!V2="МР-443 Грач",Примерочная!V2="FN Browning BDM",Примерочная!V2="Steyr M-A1",Примерочная!V2="СР-1 Вектор",Примерочная!V2="HK UCP",Примерочная!V2="Five-seveN",Примерочная!V2="BDP x6",Примерочная!V2="D-87",Примерочная!V2="Sting",Примерочная!V2="Thorn"),VLOOKUP(Импланты!J4,'Таблицы имплантов'!A10:K17,7,0),0)</f>
        <v>0</v>
      </c>
      <c r="D110" s="1827" t="s">
        <v>875</v>
      </c>
      <c r="E110" s="1828"/>
      <c r="F110" s="1225">
        <f>IFERROR(VLOOKUP(Импланты!J8,'Таблицы имплантов'!A46:K53,3,0),0)</f>
        <v>0</v>
      </c>
      <c r="G110" s="1877" t="s">
        <v>430</v>
      </c>
      <c r="H110" s="1878"/>
      <c r="I110" s="1939"/>
      <c r="J110" s="1837" t="s">
        <v>852</v>
      </c>
      <c r="K110" s="1838"/>
      <c r="L110" s="1384">
        <f>VLOOKUP(Импланты!J16,'Таблицы имплантов'!A118:K1259,7,0)</f>
        <v>0</v>
      </c>
      <c r="M110" s="1886" t="s">
        <v>857</v>
      </c>
      <c r="N110" s="1850"/>
      <c r="O110" s="1384">
        <f>IF(OR(Примерочная!V2="UZI",Примерочная!V2="Scorpion-61",Примерочная!V2="ПП-9 Клин",Примерочная!V2="HK MP-5",Примерочная!V2="Steyr TMP",Примерочная!V2="П-19 Бизон",Примерочная!V2="HK UMP-9",Примерочная!V2="ПП-2000",Примерочная!V2="АЕК-919К Каштан",Примерочная!V2="HK MP-7",Примерочная!V2="P90",Примерочная!V2="BDP 13 ",Примерочная!V2="Wasp",Примерочная!V2="Hornet",Примерочная!V2="ПМ",Примерочная!V2="ТТ",Примерочная!V2="Beretta 92",Примерочная!V2="Glock 17",Примерочная!V2="МР-443 Грач",Примерочная!V2="FN Browning BDM",Примерочная!V2="Steyr M-A1",Примерочная!V2="СР-1 Вектор",Примерочная!V2="HK UCP",Примерочная!V2="Five-seveN",Примерочная!V2="BDP x6",Примерочная!V2="D-87",Примерочная!V2="Sting",Примерочная!V2="Thorn"),VLOOKUP(Импланты!J20,'Таблицы имплантов'!A154:K161,7,0),0)</f>
        <v>0</v>
      </c>
      <c r="P110" s="1837" t="s">
        <v>251</v>
      </c>
      <c r="Q110" s="1838"/>
      <c r="R110" s="1230">
        <f>VLOOKUP(Импланты!J24,'Таблицы имплантов'!A190:K197,5,0)</f>
        <v>0</v>
      </c>
      <c r="AE110"/>
      <c r="AF110"/>
      <c r="AG110"/>
    </row>
    <row r="111" spans="1:33" ht="16.5" thickBot="1" x14ac:dyDescent="0.3">
      <c r="A111" s="1837" t="s">
        <v>422</v>
      </c>
      <c r="B111" s="1838"/>
      <c r="C111" s="1384">
        <f>IF(OR(Примерочная!V2="UZI",Примерочная!V2="Scorpion-61",Примерочная!V2="ПП-9 Клин",Примерочная!V2="HK MP-5",Примерочная!V2="Steyr TMP",Примерочная!V2="П-19 Бизон",Примерочная!V2="HK UMP-9",Примерочная!V2="ПП-2000",Примерочная!V2="АЕК-919К Каштан",Примерочная!V2="HK MP-7",Примерочная!V2="P90",Примерочная!V2="BDP 13 ",Примерочная!V2="Wasp",Примерочная!V2="Hornet",Примерочная!V2="ПМ",Примерочная!V2="ТТ",Примерочная!V2="Beretta 92",Примерочная!V2="Glock 17",Примерочная!V2="МР-443 Грач",Примерочная!V2="FN Browning BDM",Примерочная!V2="Steyr M-A1",Примерочная!V2="СР-1 Вектор",Примерочная!V2="HK UCP",Примерочная!V2="Five-seveN",Примерочная!V2="BDP x6",Примерочная!V2="D-87",Примерочная!V2="Sting",Примерочная!V2="Thorn"),VLOOKUP(Импланты!J4,'Таблицы имплантов'!A10:K17,9,0),0)</f>
        <v>0</v>
      </c>
      <c r="D111" s="1815" t="s">
        <v>824</v>
      </c>
      <c r="E111" s="1816"/>
      <c r="F111" s="1817"/>
      <c r="G111" s="1949" t="s">
        <v>423</v>
      </c>
      <c r="H111" s="1843"/>
      <c r="I111" s="1430">
        <f>VLOOKUP(Импланты!J13,'Таблицы имплантов'!A91:K98,3,0)</f>
        <v>0</v>
      </c>
      <c r="J111" s="1827" t="s">
        <v>853</v>
      </c>
      <c r="K111" s="1828"/>
      <c r="L111" s="1385">
        <f>VLOOKUP(Импланты!J16,'Таблицы имплантов'!A118:K1259,9,0)</f>
        <v>0</v>
      </c>
      <c r="M111" s="1886" t="s">
        <v>858</v>
      </c>
      <c r="N111" s="1850"/>
      <c r="O111" s="1384">
        <f>IF(OR(Примерочная!V2="UZI",Примерочная!V2="Scorpion-61",Примерочная!V2="ПП-9 Клин",Примерочная!V2="HK MP-5",Примерочная!V2="Steyr TMP",Примерочная!V2="П-19 Бизон",Примерочная!V2="HK UMP-9",Примерочная!V2="ПП-2000",Примерочная!V2="АЕК-919К Каштан",Примерочная!V2="HK MP-7",Примерочная!V2="P90",Примерочная!V2="BDP 13 ",Примерочная!V2="Wasp",Примерочная!V2="Hornet",Примерочная!V2="ПМ",Примерочная!V2="ТТ",Примерочная!V2="Beretta 92",Примерочная!V2="Glock 17",Примерочная!V2="МР-443 Грач",Примерочная!V2="FN Browning BDM",Примерочная!V2="Steyr M-A1",Примерочная!V2="СР-1 Вектор",Примерочная!V2="HK UCP",Примерочная!V2="Five-seveN",Примерочная!V2="BDP x6",Примерочная!V2="D-87",Примерочная!V2="Sting",Примерочная!V2="Thorn"),VLOOKUP(Импланты!J20,'Таблицы имплантов'!A154:K161,9,0),0)</f>
        <v>0</v>
      </c>
      <c r="P111" s="1837" t="s">
        <v>279</v>
      </c>
      <c r="Q111" s="1838"/>
      <c r="R111" s="1457">
        <f>VLOOKUP(Импланты!J24,'Таблицы имплантов'!A190:K197,7,0)</f>
        <v>0</v>
      </c>
      <c r="AE111"/>
      <c r="AF111"/>
      <c r="AG111"/>
    </row>
    <row r="112" spans="1:33" ht="16.5" thickBot="1" x14ac:dyDescent="0.3">
      <c r="A112" s="1827" t="s">
        <v>830</v>
      </c>
      <c r="B112" s="1828"/>
      <c r="C112" s="1401">
        <f>IF(OR(Примерочная!V2="UZI",Примерочная!V2="Scorpion-61",Примерочная!V2="ПП-9 Клин",Примерочная!V2="HK MP-5",Примерочная!V2="Steyr TMP",Примерочная!V2="П-19 Бизон",Примерочная!V2="HK UMP-9",Примерочная!V2="ПП-2000",Примерочная!V2="АЕК-919К Каштан",Примерочная!V2="HK MP-7",Примерочная!V2="P90",Примерочная!V2="BDP 13 ",Примерочная!V2="Wasp",Примерочная!V2="Hornet",Примерочная!V2="ПМ",Примерочная!V2="ТТ",Примерочная!V2="Beretta 92",Примерочная!V2="Glock 17",Примерочная!V2="МР-443 Грач",Примерочная!V2="FN Browning BDM",Примерочная!V2="Steyr M-A1",Примерочная!V2="СР-1 Вектор",Примерочная!V2="HK UCP",Примерочная!V2="Five-seveN",Примерочная!V2="BDP x6",Примерочная!V2="D-87",Примерочная!V2="Sting",Примерочная!V2="Thorn"),VLOOKUP(Импланты!J4,'Таблицы имплантов'!A10:K17,11,0),0)</f>
        <v>0</v>
      </c>
      <c r="D112" s="1833" t="s">
        <v>709</v>
      </c>
      <c r="E112" s="1839"/>
      <c r="F112" s="1418">
        <f>IFERROR(VLOOKUP(Импланты!J9,'Таблицы имплантов'!A55:K62,3,0),0)</f>
        <v>0</v>
      </c>
      <c r="G112" s="1949" t="s">
        <v>425</v>
      </c>
      <c r="H112" s="1843"/>
      <c r="I112" s="1430">
        <f>VLOOKUP(Импланты!J13,'Таблицы имплантов'!A91:K98,5,0)</f>
        <v>0</v>
      </c>
      <c r="J112" s="1816" t="s">
        <v>406</v>
      </c>
      <c r="K112" s="1816"/>
      <c r="L112" s="1817"/>
      <c r="M112" s="1827" t="s">
        <v>422</v>
      </c>
      <c r="N112" s="1828"/>
      <c r="O112" s="1385">
        <f>IF(OR(Примерочная!V2="UZI",Примерочная!V2="Scorpion-61",Примерочная!V2="ПП-9 Клин",Примерочная!V2="HK MP-5",Примерочная!V2="Steyr TMP",Примерочная!V2="П-19 Бизон",Примерочная!V2="HK UMP-9",Примерочная!V2="ПП-2000",Примерочная!V2="АЕК-919К Каштан",Примерочная!V2="HK MP-7",Примерочная!V2="P90",Примерочная!V2="BDP 13 ",Примерочная!V2="Wasp",Примерочная!V2="Hornet",Примерочная!V2="ПМ",Примерочная!V2="ТТ",Примерочная!V2="Beretta 92",Примерочная!V2="Glock 17",Примерочная!V2="МР-443 Грач",Примерочная!V2="FN Browning BDM",Примерочная!V2="Steyr M-A1",Примерочная!V2="СР-1 Вектор",Примерочная!V2="HK UCP",Примерочная!V2="Five-seveN",Примерочная!V2="BDP x6",Примерочная!V2="D-87",Примерочная!V2="Sting",Примерочная!V2="Thorn"),VLOOKUP(Импланты!J20,'Таблицы имплантов'!A154:K161,11,0),0)</f>
        <v>0</v>
      </c>
      <c r="P112" s="1837" t="s">
        <v>253</v>
      </c>
      <c r="Q112" s="1838"/>
      <c r="R112" s="1230">
        <f>VLOOKUP(Импланты!J24,'Таблицы имплантов'!A190:K197,9,0)</f>
        <v>0</v>
      </c>
      <c r="AE112"/>
      <c r="AF112"/>
      <c r="AG112"/>
    </row>
    <row r="113" spans="1:33" ht="16.5" thickBot="1" x14ac:dyDescent="0.3">
      <c r="A113" s="1877" t="s">
        <v>411</v>
      </c>
      <c r="B113" s="1878"/>
      <c r="C113" s="1939"/>
      <c r="D113" s="1837" t="s">
        <v>278</v>
      </c>
      <c r="E113" s="1838"/>
      <c r="F113" s="1419">
        <f>IFERROR(VLOOKUP(Импланты!J9,'Таблицы имплантов'!A55:K62,5,0),0)</f>
        <v>0</v>
      </c>
      <c r="G113" s="1949" t="s">
        <v>35</v>
      </c>
      <c r="H113" s="1843"/>
      <c r="I113" s="1431">
        <f>VLOOKUP(Импланты!J13,'Таблицы имплантов'!A91:K98,7,0)</f>
        <v>0</v>
      </c>
      <c r="J113" s="1828" t="s">
        <v>71</v>
      </c>
      <c r="K113" s="1828"/>
      <c r="L113" s="1439">
        <f>VLOOKUP(Импланты!J17,'Таблицы имплантов'!A127:K134,3,0)</f>
        <v>0</v>
      </c>
      <c r="M113" s="1815" t="s">
        <v>416</v>
      </c>
      <c r="N113" s="1816"/>
      <c r="O113" s="1817"/>
      <c r="P113" s="1827" t="s">
        <v>71</v>
      </c>
      <c r="Q113" s="1828"/>
      <c r="R113" s="1231">
        <f>VLOOKUP(Импланты!J24,'Таблицы имплантов'!A190:K197,11,0)</f>
        <v>0</v>
      </c>
      <c r="AE113"/>
      <c r="AF113"/>
      <c r="AG113"/>
    </row>
    <row r="114" spans="1:33" ht="16.5" thickBot="1" x14ac:dyDescent="0.3">
      <c r="A114" s="1837" t="s">
        <v>255</v>
      </c>
      <c r="B114" s="1838"/>
      <c r="C114" s="1402">
        <f>VLOOKUP(Импланты!J5,'Таблицы имплантов'!A19:K26,3,0)</f>
        <v>20</v>
      </c>
      <c r="D114" s="1815" t="s">
        <v>825</v>
      </c>
      <c r="E114" s="1816"/>
      <c r="F114" s="1817"/>
      <c r="G114" s="1949" t="s">
        <v>424</v>
      </c>
      <c r="H114" s="1843"/>
      <c r="I114" s="1430">
        <f>VLOOKUP(Импланты!J13,'Таблицы имплантов'!A91:K98,9,0)</f>
        <v>0</v>
      </c>
      <c r="J114" s="1877" t="s">
        <v>408</v>
      </c>
      <c r="K114" s="1878"/>
      <c r="L114" s="1878"/>
      <c r="M114" s="1837" t="s">
        <v>571</v>
      </c>
      <c r="N114" s="1917"/>
      <c r="O114" s="1452">
        <f>VLOOKUP(Импланты!J21,'Таблицы имплантов'!A163:K170,3,0)</f>
        <v>0</v>
      </c>
      <c r="P114" s="1815" t="s">
        <v>821</v>
      </c>
      <c r="Q114" s="1816"/>
      <c r="R114" s="1817"/>
      <c r="AE114"/>
      <c r="AF114"/>
      <c r="AG114"/>
    </row>
    <row r="115" spans="1:33" x14ac:dyDescent="0.25">
      <c r="A115" s="1837" t="s">
        <v>724</v>
      </c>
      <c r="B115" s="1838"/>
      <c r="C115" s="1403">
        <f>VLOOKUP(Импланты!J5,'Таблицы имплантов'!A19:K26,5,0)</f>
        <v>0</v>
      </c>
      <c r="D115" s="1833" t="s">
        <v>836</v>
      </c>
      <c r="E115" s="1839"/>
      <c r="F115" s="1402">
        <f>IF(OR(Примерочная!A2="СК-М",Примерочная!A2="СК-С",Примерочная!A2="КМ-17 Сокол",Примерочная!A2="Тантал",Примерочная!A2="Tiger",Примерочная!A2="Циклоп",Примерочная!A2="Смерч",Примерочная!A2="Hyperion"),VLOOKUP(Импланты!J10,'Таблицы имплантов'!A64:K71,3,0),0)</f>
        <v>0</v>
      </c>
      <c r="G115" s="1815" t="s">
        <v>169</v>
      </c>
      <c r="H115" s="1816"/>
      <c r="I115" s="1817"/>
      <c r="J115" s="1886" t="s">
        <v>880</v>
      </c>
      <c r="K115" s="1850"/>
      <c r="L115" s="1402">
        <f>VLOOKUP(Импланты!J18,'Таблицы имплантов'!A136:K143,3,0)</f>
        <v>0</v>
      </c>
      <c r="M115" s="1837" t="s">
        <v>565</v>
      </c>
      <c r="N115" s="1917"/>
      <c r="O115" s="1403">
        <f>VLOOKUP(Импланты!J21,'Таблицы имплантов'!A163:K170,5,0)</f>
        <v>0</v>
      </c>
      <c r="P115" s="1833" t="s">
        <v>861</v>
      </c>
      <c r="Q115" s="1839"/>
      <c r="R115" s="1429">
        <f>IF(OR(Примерочная!A2="Бастион",Примерочная!A2="Ogre",Примерочная!A2="Castle Rock",Примерочная!A2="Скорпион",Примерочная!A2="HORT",Примерочная!A2="Голиаф",Примерочная!A2="Ураган",Примерочная!A2="Leviathan"),VLOOKUP(Импланты!J25,'Таблицы имплантов'!A199:K206,3,0),0)</f>
        <v>0</v>
      </c>
      <c r="AE115"/>
      <c r="AF115"/>
      <c r="AG115"/>
    </row>
    <row r="116" spans="1:33" x14ac:dyDescent="0.25">
      <c r="A116" s="1837" t="s">
        <v>299</v>
      </c>
      <c r="B116" s="1838"/>
      <c r="C116" s="1403">
        <f>VLOOKUP(Импланты!J5,'Таблицы имплантов'!A19:K26,7,0)</f>
        <v>0</v>
      </c>
      <c r="D116" s="1886" t="s">
        <v>251</v>
      </c>
      <c r="E116" s="1850"/>
      <c r="F116" s="1420">
        <f>IFERROR(VLOOKUP(Импланты!J10,'Таблицы имплантов'!A64:K71,5,0),0)</f>
        <v>0.25</v>
      </c>
      <c r="G116" s="1854" t="s">
        <v>876</v>
      </c>
      <c r="H116" s="1855"/>
      <c r="I116" s="1432">
        <f>VLOOKUP(Импланты!J14,'Таблицы имплантов'!A100:K107,3,0)</f>
        <v>0</v>
      </c>
      <c r="J116" s="1886" t="s">
        <v>34</v>
      </c>
      <c r="K116" s="1850"/>
      <c r="L116" s="1440">
        <f>VLOOKUP(Импланты!J18,'Таблицы имплантов'!A136:K143,5,0)</f>
        <v>0</v>
      </c>
      <c r="M116" s="1837" t="s">
        <v>854</v>
      </c>
      <c r="N116" s="1917"/>
      <c r="O116" s="1453">
        <f>VLOOKUP(Импланты!J21,'Таблицы имплантов'!A163:K170,7,0)</f>
        <v>0</v>
      </c>
      <c r="P116" s="1837" t="s">
        <v>435</v>
      </c>
      <c r="Q116" s="1838"/>
      <c r="R116" s="1384">
        <f>IF(OR(Примерочная!V2="Remingron 870",Примерочная!V2="ТОЗ-194",Примерочная!V2="Сайга 12К",Примерочная!V2="РМБ-93",Примерочная!V2="Benelli M2",Примерочная!V2="SPAS-12",Примерочная!V2="Neostead",Примерочная!V2="SPAS-15",Примерочная!V2="HK CAWS",Примерочная!V2="Jackhammer",Примерочная!V2="H-900 Black Hawk",Примерочная!V2="SH-188 Потрошитель",Примерочная!V2="Voidscream"),VLOOKUP(Импланты!J25,'Таблицы имплантов'!A199:K206,5,0),0)</f>
        <v>0</v>
      </c>
      <c r="AE116"/>
      <c r="AF116"/>
      <c r="AG116"/>
    </row>
    <row r="117" spans="1:33" ht="16.5" thickBot="1" x14ac:dyDescent="0.3">
      <c r="A117" s="1837" t="s">
        <v>380</v>
      </c>
      <c r="B117" s="1838"/>
      <c r="C117" s="1403">
        <f>VLOOKUP(Импланты!J5,'Таблицы имплантов'!A19:K26,9,0)</f>
        <v>0</v>
      </c>
      <c r="D117" s="1886" t="s">
        <v>279</v>
      </c>
      <c r="E117" s="1850"/>
      <c r="F117" s="1421">
        <f>IFERROR(VLOOKUP(Импланты!J10,'Таблицы имплантов'!A64:K71,7,0),0)</f>
        <v>0</v>
      </c>
      <c r="G117" s="1854" t="s">
        <v>877</v>
      </c>
      <c r="H117" s="1855"/>
      <c r="I117" s="1431">
        <f>VLOOKUP(Импланты!J14,'Таблицы имплантов'!A100:K107,5,0)</f>
        <v>0</v>
      </c>
      <c r="J117" s="1913" t="s">
        <v>450</v>
      </c>
      <c r="K117" s="1914"/>
      <c r="L117" s="1404">
        <f>VLOOKUP(Импланты!J18,'Таблицы имплантов'!A136:K143,7,0)</f>
        <v>0</v>
      </c>
      <c r="M117" s="1837" t="s">
        <v>855</v>
      </c>
      <c r="N117" s="1917"/>
      <c r="O117" s="1453">
        <f>VLOOKUP(Импланты!J21,'Таблицы имплантов'!A163:K170,9,0)</f>
        <v>0</v>
      </c>
      <c r="P117" s="1837" t="s">
        <v>862</v>
      </c>
      <c r="Q117" s="1838"/>
      <c r="R117" s="1384">
        <f>IF(OR(Примерочная!V2="Remingron 870",Примерочная!V2="ТОЗ-194",Примерочная!V2="Сайга 12К",Примерочная!V2="РМБ-93",Примерочная!V2="Benelli M2",Примерочная!V2="SPAS-12",Примерочная!V2="Neostead",Примерочная!V2="SPAS-15",Примерочная!V2="HK CAWS",Примерочная!V2="Jackhammer",Примерочная!V2="H-900 Black Hawk",Примерочная!V2="SH-188 Потрошитель",Примерочная!V2="Voidscream"),VLOOKUP(Импланты!J25,'Таблицы имплантов'!A199:K206,7,0),0)</f>
        <v>0</v>
      </c>
      <c r="S117" s="1394"/>
    </row>
    <row r="118" spans="1:33" ht="16.5" thickBot="1" x14ac:dyDescent="0.3">
      <c r="A118" s="1827" t="s">
        <v>253</v>
      </c>
      <c r="B118" s="1828"/>
      <c r="C118" s="1404">
        <f>VLOOKUP(Импланты!J5,'Таблицы имплантов'!A19:K26,11,0)</f>
        <v>0</v>
      </c>
      <c r="D118" s="1886" t="s">
        <v>837</v>
      </c>
      <c r="E118" s="1850"/>
      <c r="F118" s="1420">
        <f>IF(OR(Примерочная!A2="СК-М",Примерочная!A2="СК-С",Примерочная!A2="КМ-17 Сокол",Примерочная!A2="Тантал",Примерочная!A2="Tiger",Примерочная!A2="Циклоп",Примерочная!A2="Смерч",Примерочная!A2="Hyperion"),VLOOKUP(Импланты!J10,'Таблицы имплантов'!A64:K71,9,0),0)</f>
        <v>0</v>
      </c>
      <c r="G118" s="1854" t="s">
        <v>845</v>
      </c>
      <c r="H118" s="1855"/>
      <c r="I118" s="1431">
        <f>VLOOKUP(Импланты!J14,'Таблицы имплантов'!A100:K107,7,0)</f>
        <v>0</v>
      </c>
      <c r="M118" s="1827" t="s">
        <v>831</v>
      </c>
      <c r="N118" s="1948"/>
      <c r="O118" s="1454">
        <f>VLOOKUP(Импланты!J21,'Таблицы имплантов'!A163:K170,11,0)</f>
        <v>0</v>
      </c>
      <c r="P118" s="1837" t="s">
        <v>863</v>
      </c>
      <c r="Q118" s="1838"/>
      <c r="R118" s="1384">
        <f>IF(OR(Примерочная!A2="Бастион",Примерочная!A2="Ogre",Примерочная!A2="Castle Rock",Примерочная!A2="Скорпион",Примерочная!A2="HORT",Примерочная!A2="Голиаф",Примерочная!A2="Ураган",Примерочная!A2="Leviathan"),VLOOKUP(Импланты!J25,'Таблицы имплантов'!A199:K206,9,0),0)</f>
        <v>0</v>
      </c>
    </row>
    <row r="119" spans="1:33" ht="16.5" thickBot="1" x14ac:dyDescent="0.3">
      <c r="D119" s="1827" t="s">
        <v>29</v>
      </c>
      <c r="E119" s="1948"/>
      <c r="F119" s="1422">
        <f>IF(OR(Примерочная!V2="Remington M40",Примерочная!V2="SSG 3000",Примерочная!V2="СВД",Примерочная!V2="ОЦ-48к",Примерочная!V2="HK PSG1",Примерочная!V2="Barrett 98B",Примерочная!V2="СВДК",Примерочная!V2="AW SM",Примерочная!V2="Kel-Tec RFB",Примерочная!V2="RPA Rangemaster",Примерочная!V2="ВСС Винторез",Примерочная!V2="DT SRS",Примерочная!V2="OCB-96",Примерочная!V2="OM 50 Nemesis",Примерочная!V2="Barrett M82",Примерочная!V2="DSR 50",Примерочная!V2="Выхлоп",Примерочная!V2="ТАС-50",Примерочная!V2="AS 50",Примерочная!V2="JNP2 Needle",Примерочная!V2="TTL mk3",Примерочная!V2="FX4600 Гарпия",Примерочная!V2="Z-8 Спекрт",Примерочная!V2="Whisper",Примерочная!V2="Stormbolt"),VLOOKUP(Импланты!J10,'Таблицы имплантов'!A64:K71,11,0),0)</f>
        <v>0</v>
      </c>
      <c r="G119" s="1854" t="s">
        <v>879</v>
      </c>
      <c r="H119" s="1855"/>
      <c r="I119" s="1430">
        <f>VLOOKUP(Импланты!J14,'Таблицы имплантов'!A100:K107,9,0)</f>
        <v>0</v>
      </c>
      <c r="P119" s="1827" t="s">
        <v>47</v>
      </c>
      <c r="Q119" s="1828"/>
      <c r="R119" s="1385">
        <f>IF(OR(Примерочная!V2="Remingron 870",Примерочная!V2="ТОЗ-194",Примерочная!V2="Сайга 12К",Примерочная!V2="РМБ-93",Примерочная!V2="Benelli M2",Примерочная!V2="SPAS-12",Примерочная!V2="Neostead",Примерочная!V2="SPAS-15",Примерочная!V2="HK CAWS",Примерочная!V2="Jackhammer",Примерочная!V2="H-900 Black Hawk",Примерочная!V2="SH-188 Потрошитель",Примерочная!V2="Voidscream"),VLOOKUP(Импланты!J25,'Таблицы имплантов'!A199:K206,11,0),0)</f>
        <v>0</v>
      </c>
    </row>
    <row r="120" spans="1:33" ht="16.5" thickBot="1" x14ac:dyDescent="0.3">
      <c r="G120" s="1820" t="s">
        <v>878</v>
      </c>
      <c r="H120" s="1821"/>
      <c r="I120" s="1433">
        <f>VLOOKUP(Импланты!J14,'Таблицы имплантов'!A100:K107,11,0)</f>
        <v>0</v>
      </c>
    </row>
  </sheetData>
  <mergeCells count="413">
    <mergeCell ref="A1:U1"/>
    <mergeCell ref="J4:L4"/>
    <mergeCell ref="J6:L6"/>
    <mergeCell ref="M21:O21"/>
    <mergeCell ref="M3:N3"/>
    <mergeCell ref="M5:O5"/>
    <mergeCell ref="M6:N6"/>
    <mergeCell ref="M7:N7"/>
    <mergeCell ref="A15:C15"/>
    <mergeCell ref="A11:C11"/>
    <mergeCell ref="D14:F14"/>
    <mergeCell ref="G4:I4"/>
    <mergeCell ref="J2:L2"/>
    <mergeCell ref="G2:I2"/>
    <mergeCell ref="M11:O11"/>
    <mergeCell ref="M12:N12"/>
    <mergeCell ref="G3:H3"/>
    <mergeCell ref="D20:E20"/>
    <mergeCell ref="G10:H10"/>
    <mergeCell ref="G12:H12"/>
    <mergeCell ref="G7:H7"/>
    <mergeCell ref="D12:F12"/>
    <mergeCell ref="J3:K3"/>
    <mergeCell ref="G5:H5"/>
    <mergeCell ref="J5:K5"/>
    <mergeCell ref="G6:I6"/>
    <mergeCell ref="G13:I13"/>
    <mergeCell ref="J9:L9"/>
    <mergeCell ref="D7:E7"/>
    <mergeCell ref="J12:K12"/>
    <mergeCell ref="G11:I11"/>
    <mergeCell ref="J10:K10"/>
    <mergeCell ref="J7:K7"/>
    <mergeCell ref="J8:K8"/>
    <mergeCell ref="D25:E25"/>
    <mergeCell ref="G14:H14"/>
    <mergeCell ref="A31:B31"/>
    <mergeCell ref="J17:L17"/>
    <mergeCell ref="A19:B19"/>
    <mergeCell ref="D24:F24"/>
    <mergeCell ref="D19:E19"/>
    <mergeCell ref="J15:L15"/>
    <mergeCell ref="D26:E26"/>
    <mergeCell ref="D17:E17"/>
    <mergeCell ref="J23:L23"/>
    <mergeCell ref="A20:B20"/>
    <mergeCell ref="D18:F18"/>
    <mergeCell ref="A26:B26"/>
    <mergeCell ref="A27:B27"/>
    <mergeCell ref="A17:C17"/>
    <mergeCell ref="A16:B16"/>
    <mergeCell ref="A28:B28"/>
    <mergeCell ref="A22:B22"/>
    <mergeCell ref="A23:B23"/>
    <mergeCell ref="D30:F30"/>
    <mergeCell ref="D22:E22"/>
    <mergeCell ref="A29:C29"/>
    <mergeCell ref="A24:B24"/>
    <mergeCell ref="A21:C21"/>
    <mergeCell ref="M25:O25"/>
    <mergeCell ref="J13:L13"/>
    <mergeCell ref="A18:B18"/>
    <mergeCell ref="A97:B97"/>
    <mergeCell ref="A115:B115"/>
    <mergeCell ref="A100:U100"/>
    <mergeCell ref="J89:L89"/>
    <mergeCell ref="A89:C89"/>
    <mergeCell ref="M101:O101"/>
    <mergeCell ref="M102:N102"/>
    <mergeCell ref="M103:N103"/>
    <mergeCell ref="M104:N104"/>
    <mergeCell ref="M108:N108"/>
    <mergeCell ref="M109:N109"/>
    <mergeCell ref="M110:N110"/>
    <mergeCell ref="M105:N105"/>
    <mergeCell ref="M106:N106"/>
    <mergeCell ref="M107:O107"/>
    <mergeCell ref="J104:K104"/>
    <mergeCell ref="J105:K105"/>
    <mergeCell ref="A30:B30"/>
    <mergeCell ref="D23:E23"/>
    <mergeCell ref="D21:F21"/>
    <mergeCell ref="A116:B116"/>
    <mergeCell ref="G101:I101"/>
    <mergeCell ref="G102:H102"/>
    <mergeCell ref="G103:H103"/>
    <mergeCell ref="G104:H104"/>
    <mergeCell ref="G105:H105"/>
    <mergeCell ref="G106:H106"/>
    <mergeCell ref="D104:E104"/>
    <mergeCell ref="D102:E102"/>
    <mergeCell ref="D103:E103"/>
    <mergeCell ref="D105:F105"/>
    <mergeCell ref="D106:E106"/>
    <mergeCell ref="D107:E107"/>
    <mergeCell ref="D108:E108"/>
    <mergeCell ref="D112:E112"/>
    <mergeCell ref="D113:E113"/>
    <mergeCell ref="D114:F114"/>
    <mergeCell ref="A117:B117"/>
    <mergeCell ref="A107:C107"/>
    <mergeCell ref="J115:K115"/>
    <mergeCell ref="A114:B114"/>
    <mergeCell ref="A113:C113"/>
    <mergeCell ref="J114:L114"/>
    <mergeCell ref="A90:B90"/>
    <mergeCell ref="A111:B111"/>
    <mergeCell ref="A112:B112"/>
    <mergeCell ref="A108:B108"/>
    <mergeCell ref="A109:B109"/>
    <mergeCell ref="A110:B110"/>
    <mergeCell ref="J116:K116"/>
    <mergeCell ref="J117:K117"/>
    <mergeCell ref="G109:H109"/>
    <mergeCell ref="G107:I107"/>
    <mergeCell ref="G108:H108"/>
    <mergeCell ref="A95:B95"/>
    <mergeCell ref="D115:E115"/>
    <mergeCell ref="J107:L107"/>
    <mergeCell ref="J108:K108"/>
    <mergeCell ref="J101:L101"/>
    <mergeCell ref="J102:K102"/>
    <mergeCell ref="J103:K103"/>
    <mergeCell ref="G119:H119"/>
    <mergeCell ref="G120:H120"/>
    <mergeCell ref="P109:Q109"/>
    <mergeCell ref="P110:Q110"/>
    <mergeCell ref="P111:Q111"/>
    <mergeCell ref="D111:F111"/>
    <mergeCell ref="G114:H114"/>
    <mergeCell ref="G110:I110"/>
    <mergeCell ref="M111:N111"/>
    <mergeCell ref="G113:H113"/>
    <mergeCell ref="J109:K109"/>
    <mergeCell ref="J110:K110"/>
    <mergeCell ref="J111:K111"/>
    <mergeCell ref="M112:N112"/>
    <mergeCell ref="P118:Q118"/>
    <mergeCell ref="D118:E118"/>
    <mergeCell ref="D119:E119"/>
    <mergeCell ref="D109:F109"/>
    <mergeCell ref="D110:E110"/>
    <mergeCell ref="M113:O113"/>
    <mergeCell ref="J113:K113"/>
    <mergeCell ref="D116:E116"/>
    <mergeCell ref="D117:E117"/>
    <mergeCell ref="M114:N114"/>
    <mergeCell ref="A118:B118"/>
    <mergeCell ref="G115:I115"/>
    <mergeCell ref="D101:F101"/>
    <mergeCell ref="P108:R108"/>
    <mergeCell ref="M115:N115"/>
    <mergeCell ref="M116:N116"/>
    <mergeCell ref="M117:N117"/>
    <mergeCell ref="M118:N118"/>
    <mergeCell ref="P112:Q112"/>
    <mergeCell ref="P113:Q113"/>
    <mergeCell ref="A101:C101"/>
    <mergeCell ref="A102:B102"/>
    <mergeCell ref="A103:B103"/>
    <mergeCell ref="A104:B104"/>
    <mergeCell ref="G111:H111"/>
    <mergeCell ref="G112:H112"/>
    <mergeCell ref="A105:B105"/>
    <mergeCell ref="A106:B106"/>
    <mergeCell ref="G116:H116"/>
    <mergeCell ref="G118:H118"/>
    <mergeCell ref="G117:H117"/>
    <mergeCell ref="P103:R103"/>
    <mergeCell ref="J112:L112"/>
    <mergeCell ref="P104:Q104"/>
    <mergeCell ref="J106:K106"/>
    <mergeCell ref="D2:F2"/>
    <mergeCell ref="D3:E3"/>
    <mergeCell ref="D10:F10"/>
    <mergeCell ref="D8:F8"/>
    <mergeCell ref="D6:E6"/>
    <mergeCell ref="A10:B10"/>
    <mergeCell ref="A12:B12"/>
    <mergeCell ref="D9:E9"/>
    <mergeCell ref="A7:B7"/>
    <mergeCell ref="A2:C2"/>
    <mergeCell ref="D4:E4"/>
    <mergeCell ref="A3:B3"/>
    <mergeCell ref="D5:E5"/>
    <mergeCell ref="A8:B8"/>
    <mergeCell ref="A4:B4"/>
    <mergeCell ref="A6:B6"/>
    <mergeCell ref="A13:C13"/>
    <mergeCell ref="A5:B5"/>
    <mergeCell ref="A9:C9"/>
    <mergeCell ref="G76:H76"/>
    <mergeCell ref="D82:E82"/>
    <mergeCell ref="A25:C25"/>
    <mergeCell ref="D29:E29"/>
    <mergeCell ref="D76:E76"/>
    <mergeCell ref="J76:K76"/>
    <mergeCell ref="J77:K77"/>
    <mergeCell ref="D78:F78"/>
    <mergeCell ref="G78:I78"/>
    <mergeCell ref="J78:L78"/>
    <mergeCell ref="D70:E70"/>
    <mergeCell ref="D72:E72"/>
    <mergeCell ref="J71:K71"/>
    <mergeCell ref="J74:K74"/>
    <mergeCell ref="J72:K72"/>
    <mergeCell ref="J73:L73"/>
    <mergeCell ref="J75:L75"/>
    <mergeCell ref="G71:H71"/>
    <mergeCell ref="A14:B14"/>
    <mergeCell ref="G9:H9"/>
    <mergeCell ref="J20:L20"/>
    <mergeCell ref="J11:K11"/>
    <mergeCell ref="AB2:AD2"/>
    <mergeCell ref="AB3:AC3"/>
    <mergeCell ref="AB4:AC4"/>
    <mergeCell ref="AB5:AC5"/>
    <mergeCell ref="AB6:AC6"/>
    <mergeCell ref="AB9:AC9"/>
    <mergeCell ref="AB10:AC10"/>
    <mergeCell ref="V2:X2"/>
    <mergeCell ref="AB13:AC13"/>
    <mergeCell ref="V3:W3"/>
    <mergeCell ref="V4:W4"/>
    <mergeCell ref="V5:W5"/>
    <mergeCell ref="AB14:AC14"/>
    <mergeCell ref="S10:T10"/>
    <mergeCell ref="P10:R10"/>
    <mergeCell ref="M2:O2"/>
    <mergeCell ref="M8:O8"/>
    <mergeCell ref="M9:N9"/>
    <mergeCell ref="M10:N10"/>
    <mergeCell ref="D16:F16"/>
    <mergeCell ref="AE15:AF15"/>
    <mergeCell ref="P11:Q11"/>
    <mergeCell ref="AE16:AF16"/>
    <mergeCell ref="AE17:AF17"/>
    <mergeCell ref="G77:H77"/>
    <mergeCell ref="G59:I59"/>
    <mergeCell ref="G57:H57"/>
    <mergeCell ref="G62:H62"/>
    <mergeCell ref="G72:H72"/>
    <mergeCell ref="G70:H70"/>
    <mergeCell ref="J14:K14"/>
    <mergeCell ref="S17:T17"/>
    <mergeCell ref="S18:T18"/>
    <mergeCell ref="M17:N17"/>
    <mergeCell ref="M19:N19"/>
    <mergeCell ref="S19:T19"/>
    <mergeCell ref="M18:O18"/>
    <mergeCell ref="J69:L69"/>
    <mergeCell ref="AB11:AC11"/>
    <mergeCell ref="M13:N13"/>
    <mergeCell ref="AB12:AC12"/>
    <mergeCell ref="P56:R56"/>
    <mergeCell ref="M72:N72"/>
    <mergeCell ref="S15:T15"/>
    <mergeCell ref="M82:N82"/>
    <mergeCell ref="M69:O69"/>
    <mergeCell ref="M70:N70"/>
    <mergeCell ref="M71:N71"/>
    <mergeCell ref="M75:O75"/>
    <mergeCell ref="M76:N76"/>
    <mergeCell ref="M14:O14"/>
    <mergeCell ref="M73:O73"/>
    <mergeCell ref="M77:N77"/>
    <mergeCell ref="M80:O80"/>
    <mergeCell ref="M79:N79"/>
    <mergeCell ref="M78:O78"/>
    <mergeCell ref="G69:I69"/>
    <mergeCell ref="A39:C39"/>
    <mergeCell ref="M24:N24"/>
    <mergeCell ref="J70:K70"/>
    <mergeCell ref="A42:B42"/>
    <mergeCell ref="A69:C69"/>
    <mergeCell ref="M91:N91"/>
    <mergeCell ref="P22:R22"/>
    <mergeCell ref="AE18:AF18"/>
    <mergeCell ref="M90:N90"/>
    <mergeCell ref="G64:H64"/>
    <mergeCell ref="G65:H65"/>
    <mergeCell ref="G66:H66"/>
    <mergeCell ref="G67:H67"/>
    <mergeCell ref="G74:H74"/>
    <mergeCell ref="M83:O83"/>
    <mergeCell ref="J83:L83"/>
    <mergeCell ref="J80:L80"/>
    <mergeCell ref="J82:K82"/>
    <mergeCell ref="D71:E71"/>
    <mergeCell ref="D83:F83"/>
    <mergeCell ref="D60:E60"/>
    <mergeCell ref="D61:E61"/>
    <mergeCell ref="D74:E74"/>
    <mergeCell ref="S7:T7"/>
    <mergeCell ref="S3:T3"/>
    <mergeCell ref="M81:N81"/>
    <mergeCell ref="S16:T16"/>
    <mergeCell ref="P98:Q98"/>
    <mergeCell ref="P24:R24"/>
    <mergeCell ref="M20:N20"/>
    <mergeCell ref="S20:X20"/>
    <mergeCell ref="P97:Q97"/>
    <mergeCell ref="A43:X43"/>
    <mergeCell ref="A68:U68"/>
    <mergeCell ref="A58:U58"/>
    <mergeCell ref="A88:U88"/>
    <mergeCell ref="A96:U96"/>
    <mergeCell ref="D28:F28"/>
    <mergeCell ref="A33:C33"/>
    <mergeCell ref="A38:B38"/>
    <mergeCell ref="D27:E27"/>
    <mergeCell ref="A34:B34"/>
    <mergeCell ref="A35:C35"/>
    <mergeCell ref="A36:B36"/>
    <mergeCell ref="A37:B37"/>
    <mergeCell ref="A32:B32"/>
    <mergeCell ref="D59:F59"/>
    <mergeCell ref="J79:K79"/>
    <mergeCell ref="G81:H81"/>
    <mergeCell ref="A40:B40"/>
    <mergeCell ref="A41:B41"/>
    <mergeCell ref="A86:C86"/>
    <mergeCell ref="J90:K90"/>
    <mergeCell ref="S2:U2"/>
    <mergeCell ref="S8:U8"/>
    <mergeCell ref="S14:U14"/>
    <mergeCell ref="M16:N16"/>
    <mergeCell ref="P2:R2"/>
    <mergeCell ref="P3:Q3"/>
    <mergeCell ref="P4:R4"/>
    <mergeCell ref="P5:Q5"/>
    <mergeCell ref="P6:R6"/>
    <mergeCell ref="P7:Q7"/>
    <mergeCell ref="P8:R8"/>
    <mergeCell ref="P9:Q9"/>
    <mergeCell ref="S4:T4"/>
    <mergeCell ref="M15:N15"/>
    <mergeCell ref="S9:T9"/>
    <mergeCell ref="S12:T12"/>
    <mergeCell ref="S13:T13"/>
    <mergeCell ref="S11:T11"/>
    <mergeCell ref="D63:E63"/>
    <mergeCell ref="G63:H63"/>
    <mergeCell ref="S5:T5"/>
    <mergeCell ref="S6:T6"/>
    <mergeCell ref="D75:F75"/>
    <mergeCell ref="G80:I80"/>
    <mergeCell ref="A94:B94"/>
    <mergeCell ref="D81:E81"/>
    <mergeCell ref="D79:E79"/>
    <mergeCell ref="D80:F80"/>
    <mergeCell ref="A91:B91"/>
    <mergeCell ref="A92:B92"/>
    <mergeCell ref="J81:K81"/>
    <mergeCell ref="G79:H79"/>
    <mergeCell ref="G91:H91"/>
    <mergeCell ref="G92:H92"/>
    <mergeCell ref="G94:H94"/>
    <mergeCell ref="D84:E84"/>
    <mergeCell ref="D85:E85"/>
    <mergeCell ref="D89:F89"/>
    <mergeCell ref="G83:I83"/>
    <mergeCell ref="G84:H84"/>
    <mergeCell ref="G85:H85"/>
    <mergeCell ref="D86:F86"/>
    <mergeCell ref="D69:F69"/>
    <mergeCell ref="G73:I73"/>
    <mergeCell ref="G82:H82"/>
    <mergeCell ref="J86:L86"/>
    <mergeCell ref="A59:C59"/>
    <mergeCell ref="M93:N93"/>
    <mergeCell ref="M92:N92"/>
    <mergeCell ref="M89:O89"/>
    <mergeCell ref="J84:K84"/>
    <mergeCell ref="M84:N84"/>
    <mergeCell ref="J85:K85"/>
    <mergeCell ref="M85:N85"/>
    <mergeCell ref="G89:I89"/>
    <mergeCell ref="G90:H90"/>
    <mergeCell ref="J91:K91"/>
    <mergeCell ref="A73:C73"/>
    <mergeCell ref="A75:C75"/>
    <mergeCell ref="A78:C78"/>
    <mergeCell ref="A80:C80"/>
    <mergeCell ref="A83:C83"/>
    <mergeCell ref="G86:I86"/>
    <mergeCell ref="A85:B85"/>
    <mergeCell ref="A93:B93"/>
    <mergeCell ref="D62:E62"/>
    <mergeCell ref="G75:I75"/>
    <mergeCell ref="D73:F73"/>
    <mergeCell ref="D77:E77"/>
    <mergeCell ref="D64:E64"/>
    <mergeCell ref="J97:K97"/>
    <mergeCell ref="G98:H98"/>
    <mergeCell ref="J98:K98"/>
    <mergeCell ref="P119:Q119"/>
    <mergeCell ref="D11:E11"/>
    <mergeCell ref="D13:E13"/>
    <mergeCell ref="D15:E15"/>
    <mergeCell ref="M26:N26"/>
    <mergeCell ref="G60:H60"/>
    <mergeCell ref="P101:R101"/>
    <mergeCell ref="P102:Q102"/>
    <mergeCell ref="P105:Q105"/>
    <mergeCell ref="P106:Q106"/>
    <mergeCell ref="P107:Q107"/>
    <mergeCell ref="P114:R114"/>
    <mergeCell ref="P115:Q115"/>
    <mergeCell ref="P116:Q116"/>
    <mergeCell ref="P117:Q117"/>
    <mergeCell ref="M95:N95"/>
    <mergeCell ref="M94:N94"/>
  </mergeCells>
  <conditionalFormatting sqref="L66:L67 I62:I67 F1:F42 F52:F57 R99 F99 I99 L99 O99 U99 I1:I14 I44:I57 L1:L42 AA15:AA42 X44:X1048576 U44:U57 R44:R57 O44:O57 L44:L57 F44:F48 O69:O87 R69:R87 U69:U87 F69:F87 I69:I87 L69:L87 L59 O59:O67 R59:R67 U59:U67 I59 F59:F67 L89:L95 I89:I95 F89:F95 U89:U95 R89:R95 O89:O95 U101:U1048576 O101:O1048576 L101:L1048576 I101:I1048576 F101:F1048576 R101:R1048576 R1:R14 R21:R42 O1:O42 X1:X14 X20:X42 U1:U42">
    <cfRule type="cellIs" dxfId="108" priority="8" operator="lessThan">
      <formula>0</formula>
    </cfRule>
    <cfRule type="cellIs" dxfId="107" priority="9" operator="greaterThan">
      <formula>0</formula>
    </cfRule>
    <cfRule type="cellIs" dxfId="106" priority="10" operator="equal">
      <formula>0</formula>
    </cfRule>
  </conditionalFormatting>
  <conditionalFormatting sqref="I99 I1:I14 I44:I57 L15:L42 I69:I87 I59:I67 I89:I95 I101:I1048576">
    <cfRule type="cellIs" dxfId="105" priority="7" operator="lessThan">
      <formula>0</formula>
    </cfRule>
  </conditionalFormatting>
  <conditionalFormatting sqref="C60:C67 C1:C7 C44 C9:C42 C153:C1048576 C98:C99 C70:C72 C89:C95 C101:C118 C74 C76:C77 C79 C81:C82 C84:C87">
    <cfRule type="cellIs" dxfId="104" priority="4" operator="lessThan">
      <formula>0</formula>
    </cfRule>
    <cfRule type="cellIs" dxfId="103" priority="5" operator="equal">
      <formula>0</formula>
    </cfRule>
    <cfRule type="cellIs" dxfId="102" priority="6" operator="greaterThan">
      <formula>0</formula>
    </cfRule>
  </conditionalFormatting>
  <conditionalFormatting sqref="C45:C57">
    <cfRule type="cellIs" dxfId="101" priority="1" operator="equal">
      <formula>0</formula>
    </cfRule>
    <cfRule type="cellIs" dxfId="100" priority="2" operator="lessThan">
      <formula>0</formula>
    </cfRule>
    <cfRule type="cellIs" dxfId="99" priority="3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/>
  <dimension ref="A1:Q31"/>
  <sheetViews>
    <sheetView showGridLines="0" tabSelected="1" zoomScale="80" zoomScaleNormal="80" workbookViewId="0">
      <selection activeCell="H30" sqref="H30"/>
    </sheetView>
  </sheetViews>
  <sheetFormatPr defaultColWidth="12.85546875" defaultRowHeight="18.75" customHeight="1" x14ac:dyDescent="0.25"/>
  <cols>
    <col min="1" max="1" width="21.5703125" style="1" customWidth="1"/>
    <col min="2" max="7" width="9.28515625" style="1" customWidth="1"/>
    <col min="8" max="16384" width="12.85546875" style="1"/>
  </cols>
  <sheetData>
    <row r="1" spans="1:15" ht="18.75" customHeight="1" thickBot="1" x14ac:dyDescent="0.3">
      <c r="A1" s="941"/>
      <c r="B1" s="1304" t="s">
        <v>810</v>
      </c>
      <c r="C1" s="1305" t="s">
        <v>811</v>
      </c>
      <c r="D1" s="1305" t="s">
        <v>812</v>
      </c>
      <c r="E1" s="1305" t="s">
        <v>813</v>
      </c>
      <c r="F1" s="1305" t="s">
        <v>814</v>
      </c>
      <c r="G1" s="1306" t="s">
        <v>815</v>
      </c>
      <c r="H1" s="1971" t="s">
        <v>461</v>
      </c>
      <c r="I1" s="1972"/>
      <c r="J1" s="1973"/>
      <c r="K1" s="18"/>
      <c r="L1" s="18"/>
      <c r="M1" s="18"/>
      <c r="N1" s="18"/>
      <c r="O1" s="18"/>
    </row>
    <row r="2" spans="1:15" ht="18.75" customHeight="1" thickBot="1" x14ac:dyDescent="0.3">
      <c r="A2" s="942"/>
      <c r="B2" s="1980" t="s">
        <v>398</v>
      </c>
      <c r="C2" s="1981"/>
      <c r="D2" s="1981"/>
      <c r="E2" s="1981"/>
      <c r="F2" s="1981"/>
      <c r="G2" s="1982"/>
      <c r="H2" s="1974"/>
      <c r="I2" s="1975"/>
      <c r="J2" s="1976"/>
      <c r="K2" s="18"/>
      <c r="L2" s="18"/>
      <c r="M2" s="18"/>
      <c r="N2" s="18"/>
      <c r="O2" s="18"/>
    </row>
    <row r="3" spans="1:15" ht="18.75" customHeight="1" x14ac:dyDescent="0.25">
      <c r="A3" s="1307" t="s">
        <v>146</v>
      </c>
      <c r="B3" s="1308">
        <v>0</v>
      </c>
      <c r="C3" s="1312"/>
      <c r="D3" s="1312"/>
      <c r="E3" s="1312"/>
      <c r="F3" s="1312"/>
      <c r="G3" s="1313"/>
      <c r="H3" s="1368" t="s">
        <v>414</v>
      </c>
      <c r="I3" s="1354"/>
      <c r="J3" s="1369">
        <v>0</v>
      </c>
    </row>
    <row r="4" spans="1:15" ht="18.75" customHeight="1" x14ac:dyDescent="0.25">
      <c r="A4" s="1302" t="s">
        <v>147</v>
      </c>
      <c r="B4" s="1318"/>
      <c r="C4" s="1301">
        <v>0</v>
      </c>
      <c r="D4" s="1314"/>
      <c r="E4" s="1314"/>
      <c r="F4" s="1314"/>
      <c r="G4" s="1315"/>
      <c r="H4" s="942" t="s">
        <v>427</v>
      </c>
      <c r="I4" s="1355"/>
      <c r="J4" s="1370">
        <v>0</v>
      </c>
      <c r="K4" s="1366"/>
    </row>
    <row r="5" spans="1:15" ht="18.75" customHeight="1" x14ac:dyDescent="0.25">
      <c r="A5" s="1302" t="s">
        <v>148</v>
      </c>
      <c r="B5" s="1318"/>
      <c r="C5" s="1301"/>
      <c r="D5" s="1301">
        <v>0</v>
      </c>
      <c r="E5" s="1301"/>
      <c r="F5" s="1301"/>
      <c r="G5" s="1316"/>
      <c r="H5" s="942" t="s">
        <v>411</v>
      </c>
      <c r="I5" s="1355"/>
      <c r="J5" s="1370">
        <v>2</v>
      </c>
    </row>
    <row r="6" spans="1:15" ht="18.75" customHeight="1" x14ac:dyDescent="0.25">
      <c r="A6" s="1302" t="s">
        <v>379</v>
      </c>
      <c r="B6" s="1318"/>
      <c r="C6" s="1301"/>
      <c r="D6" s="1301"/>
      <c r="E6" s="1301">
        <v>0</v>
      </c>
      <c r="F6" s="1301"/>
      <c r="G6" s="1316"/>
      <c r="H6" s="942" t="s">
        <v>415</v>
      </c>
      <c r="I6" s="1355"/>
      <c r="J6" s="1370">
        <v>0</v>
      </c>
    </row>
    <row r="7" spans="1:15" ht="18.75" customHeight="1" x14ac:dyDescent="0.25">
      <c r="A7" s="1302" t="s">
        <v>150</v>
      </c>
      <c r="B7" s="1318"/>
      <c r="C7" s="1301"/>
      <c r="D7" s="1301"/>
      <c r="E7" s="1301"/>
      <c r="F7" s="1301">
        <v>0</v>
      </c>
      <c r="G7" s="1316"/>
      <c r="H7" s="942" t="s">
        <v>262</v>
      </c>
      <c r="I7" s="1355"/>
      <c r="J7" s="1370">
        <v>0</v>
      </c>
    </row>
    <row r="8" spans="1:15" ht="18.75" customHeight="1" thickBot="1" x14ac:dyDescent="0.3">
      <c r="A8" s="1303" t="s">
        <v>151</v>
      </c>
      <c r="B8" s="1319"/>
      <c r="C8" s="1309"/>
      <c r="D8" s="1309"/>
      <c r="E8" s="1309"/>
      <c r="F8" s="1309"/>
      <c r="G8" s="1317">
        <v>0</v>
      </c>
      <c r="H8" s="942" t="s">
        <v>404</v>
      </c>
      <c r="I8" s="1355"/>
      <c r="J8" s="1370">
        <v>0</v>
      </c>
    </row>
    <row r="9" spans="1:15" ht="18.75" customHeight="1" thickBot="1" x14ac:dyDescent="0.3">
      <c r="A9" s="941"/>
      <c r="B9" s="1983" t="s">
        <v>245</v>
      </c>
      <c r="C9" s="1984"/>
      <c r="D9" s="1984"/>
      <c r="E9" s="1984"/>
      <c r="F9" s="1984"/>
      <c r="G9" s="1985"/>
      <c r="H9" s="942" t="s">
        <v>824</v>
      </c>
      <c r="I9" s="1355"/>
      <c r="J9" s="1370">
        <v>0</v>
      </c>
    </row>
    <row r="10" spans="1:15" ht="18.75" customHeight="1" x14ac:dyDescent="0.25">
      <c r="A10" s="1307" t="s">
        <v>71</v>
      </c>
      <c r="B10" s="1329"/>
      <c r="C10" s="1325">
        <v>0.11</v>
      </c>
      <c r="D10" s="1324"/>
      <c r="E10" s="1325">
        <v>0</v>
      </c>
      <c r="F10" s="1324"/>
      <c r="G10" s="1326">
        <v>0</v>
      </c>
      <c r="H10" s="942" t="s">
        <v>825</v>
      </c>
      <c r="I10" s="1355"/>
      <c r="J10" s="1371">
        <v>3</v>
      </c>
    </row>
    <row r="11" spans="1:15" ht="18.75" customHeight="1" x14ac:dyDescent="0.25">
      <c r="A11" s="1302" t="s">
        <v>70</v>
      </c>
      <c r="B11" s="1341">
        <v>0</v>
      </c>
      <c r="C11" s="1310"/>
      <c r="D11" s="1311">
        <v>0</v>
      </c>
      <c r="E11" s="1310"/>
      <c r="F11" s="1311">
        <v>0</v>
      </c>
      <c r="G11" s="1321"/>
      <c r="H11" s="942" t="s">
        <v>822</v>
      </c>
      <c r="I11" s="1355"/>
      <c r="J11" s="1371">
        <v>0</v>
      </c>
    </row>
    <row r="12" spans="1:15" ht="18.75" customHeight="1" x14ac:dyDescent="0.25">
      <c r="A12" s="1302" t="s">
        <v>817</v>
      </c>
      <c r="B12" s="1341">
        <v>0</v>
      </c>
      <c r="C12" s="1311">
        <v>0</v>
      </c>
      <c r="D12" s="1311">
        <v>0</v>
      </c>
      <c r="E12" s="1311">
        <v>0</v>
      </c>
      <c r="F12" s="1311">
        <v>0.12</v>
      </c>
      <c r="G12" s="1320">
        <v>0</v>
      </c>
      <c r="H12" s="942" t="s">
        <v>403</v>
      </c>
      <c r="I12" s="1355"/>
      <c r="J12" s="1370">
        <v>0</v>
      </c>
    </row>
    <row r="13" spans="1:15" ht="18.75" customHeight="1" x14ac:dyDescent="0.25">
      <c r="A13" s="1302" t="s">
        <v>69</v>
      </c>
      <c r="B13" s="1341">
        <v>0</v>
      </c>
      <c r="C13" s="1311">
        <v>0</v>
      </c>
      <c r="D13" s="1311">
        <v>0</v>
      </c>
      <c r="E13" s="1311">
        <v>0</v>
      </c>
      <c r="F13" s="1311">
        <v>0</v>
      </c>
      <c r="G13" s="1321"/>
      <c r="H13" s="942" t="s">
        <v>410</v>
      </c>
      <c r="I13" s="1355"/>
      <c r="J13" s="1370">
        <v>0</v>
      </c>
    </row>
    <row r="14" spans="1:15" ht="18.75" customHeight="1" x14ac:dyDescent="0.25">
      <c r="A14" s="1367" t="s">
        <v>816</v>
      </c>
      <c r="B14" s="1342"/>
      <c r="C14" s="1327">
        <v>0</v>
      </c>
      <c r="D14" s="1327">
        <v>0</v>
      </c>
      <c r="E14" s="1327">
        <v>0</v>
      </c>
      <c r="F14" s="1327">
        <v>0</v>
      </c>
      <c r="G14" s="1338">
        <v>0</v>
      </c>
      <c r="H14" s="942" t="s">
        <v>274</v>
      </c>
      <c r="I14" s="1355"/>
      <c r="J14" s="1370">
        <v>0</v>
      </c>
    </row>
    <row r="15" spans="1:15" ht="18.75" customHeight="1" thickBot="1" x14ac:dyDescent="0.3">
      <c r="A15" s="1303" t="s">
        <v>818</v>
      </c>
      <c r="B15" s="1343">
        <v>0</v>
      </c>
      <c r="C15" s="1322">
        <v>0</v>
      </c>
      <c r="D15" s="1322">
        <v>0</v>
      </c>
      <c r="E15" s="1322">
        <v>0</v>
      </c>
      <c r="F15" s="1322">
        <v>0</v>
      </c>
      <c r="G15" s="1323">
        <v>0</v>
      </c>
      <c r="H15" s="942" t="s">
        <v>823</v>
      </c>
      <c r="I15" s="1355"/>
      <c r="J15" s="1370">
        <v>0</v>
      </c>
    </row>
    <row r="16" spans="1:15" ht="18.75" customHeight="1" thickBot="1" x14ac:dyDescent="0.3">
      <c r="A16" s="942"/>
      <c r="B16" s="1971" t="s">
        <v>65</v>
      </c>
      <c r="C16" s="1972"/>
      <c r="D16" s="1972"/>
      <c r="E16" s="1972"/>
      <c r="F16" s="1972"/>
      <c r="G16" s="1973"/>
      <c r="H16" s="942" t="s">
        <v>413</v>
      </c>
      <c r="I16" s="1355"/>
      <c r="J16" s="1371">
        <v>0</v>
      </c>
    </row>
    <row r="17" spans="1:17" ht="18.75" customHeight="1" x14ac:dyDescent="0.25">
      <c r="A17" s="1307" t="s">
        <v>253</v>
      </c>
      <c r="B17" s="1329"/>
      <c r="C17" s="1325">
        <v>0</v>
      </c>
      <c r="D17" s="1325"/>
      <c r="E17" s="1325">
        <v>0</v>
      </c>
      <c r="F17" s="1325"/>
      <c r="G17" s="1326">
        <v>0</v>
      </c>
      <c r="H17" s="942" t="s">
        <v>406</v>
      </c>
      <c r="I17" s="1355"/>
      <c r="J17" s="1370">
        <v>0</v>
      </c>
    </row>
    <row r="18" spans="1:17" ht="18.75" customHeight="1" x14ac:dyDescent="0.25">
      <c r="A18" s="1302" t="s">
        <v>399</v>
      </c>
      <c r="B18" s="1318">
        <v>0</v>
      </c>
      <c r="C18" s="1301">
        <v>0</v>
      </c>
      <c r="D18" s="1301"/>
      <c r="E18" s="1301">
        <v>0</v>
      </c>
      <c r="F18" s="1301">
        <v>0</v>
      </c>
      <c r="G18" s="1316"/>
      <c r="H18" s="942" t="s">
        <v>408</v>
      </c>
      <c r="I18" s="1355"/>
      <c r="J18" s="1370">
        <v>0</v>
      </c>
    </row>
    <row r="19" spans="1:17" ht="18.75" customHeight="1" x14ac:dyDescent="0.25">
      <c r="A19" s="1302" t="s">
        <v>400</v>
      </c>
      <c r="B19" s="1344">
        <v>0</v>
      </c>
      <c r="C19" s="1331"/>
      <c r="D19" s="1331">
        <v>0</v>
      </c>
      <c r="E19" s="1331"/>
      <c r="F19" s="1331">
        <v>0</v>
      </c>
      <c r="G19" s="1332">
        <v>0</v>
      </c>
      <c r="H19" s="942" t="s">
        <v>269</v>
      </c>
      <c r="I19" s="1355"/>
      <c r="J19" s="1370">
        <v>0</v>
      </c>
    </row>
    <row r="20" spans="1:17" ht="18.75" customHeight="1" x14ac:dyDescent="0.25">
      <c r="A20" s="1302" t="s">
        <v>255</v>
      </c>
      <c r="B20" s="1318"/>
      <c r="C20" s="1301">
        <v>0</v>
      </c>
      <c r="D20" s="1301">
        <v>19</v>
      </c>
      <c r="E20" s="1301"/>
      <c r="F20" s="1301"/>
      <c r="G20" s="1316">
        <v>23</v>
      </c>
      <c r="H20" s="942" t="s">
        <v>405</v>
      </c>
      <c r="I20" s="1355"/>
      <c r="J20" s="1370">
        <v>0</v>
      </c>
    </row>
    <row r="21" spans="1:17" ht="18.75" customHeight="1" x14ac:dyDescent="0.25">
      <c r="A21" s="1302" t="s">
        <v>297</v>
      </c>
      <c r="B21" s="1330"/>
      <c r="C21" s="1311">
        <v>0</v>
      </c>
      <c r="D21" s="1310"/>
      <c r="E21" s="1311">
        <v>0</v>
      </c>
      <c r="F21" s="1310"/>
      <c r="G21" s="1320">
        <v>0</v>
      </c>
      <c r="H21" s="942" t="s">
        <v>416</v>
      </c>
      <c r="I21" s="1355"/>
      <c r="J21" s="1370">
        <v>0</v>
      </c>
    </row>
    <row r="22" spans="1:17" ht="18.75" customHeight="1" thickBot="1" x14ac:dyDescent="0.3">
      <c r="A22" s="1303" t="s">
        <v>401</v>
      </c>
      <c r="B22" s="1319">
        <v>0</v>
      </c>
      <c r="C22" s="1309"/>
      <c r="D22" s="1309"/>
      <c r="E22" s="1309">
        <v>0</v>
      </c>
      <c r="F22" s="1309">
        <v>0</v>
      </c>
      <c r="G22" s="1317">
        <v>0</v>
      </c>
      <c r="H22" s="942" t="s">
        <v>409</v>
      </c>
      <c r="I22" s="1355"/>
      <c r="J22" s="1371">
        <v>0</v>
      </c>
      <c r="Q22" s="69"/>
    </row>
    <row r="23" spans="1:17" ht="18.75" customHeight="1" thickBot="1" x14ac:dyDescent="0.3">
      <c r="A23" s="942"/>
      <c r="B23" s="1971" t="s">
        <v>240</v>
      </c>
      <c r="C23" s="1972"/>
      <c r="D23" s="1972"/>
      <c r="E23" s="1972"/>
      <c r="F23" s="1972"/>
      <c r="G23" s="1973"/>
      <c r="H23" s="942" t="s">
        <v>407</v>
      </c>
      <c r="I23" s="1355"/>
      <c r="J23" s="1370">
        <v>0</v>
      </c>
    </row>
    <row r="24" spans="1:17" ht="18.75" customHeight="1" x14ac:dyDescent="0.25">
      <c r="A24" s="1307" t="s">
        <v>279</v>
      </c>
      <c r="B24" s="1308"/>
      <c r="C24" s="1347">
        <v>0</v>
      </c>
      <c r="D24" s="1347"/>
      <c r="E24" s="1347">
        <v>2</v>
      </c>
      <c r="F24" s="1347"/>
      <c r="G24" s="1348"/>
      <c r="H24" s="942" t="s">
        <v>412</v>
      </c>
      <c r="I24" s="1355"/>
      <c r="J24" s="1370">
        <v>0</v>
      </c>
    </row>
    <row r="25" spans="1:17" ht="18.75" customHeight="1" x14ac:dyDescent="0.25">
      <c r="A25" s="1302" t="s">
        <v>278</v>
      </c>
      <c r="B25" s="1318"/>
      <c r="C25" s="1301">
        <v>0</v>
      </c>
      <c r="D25" s="1301">
        <v>0</v>
      </c>
      <c r="E25" s="1301">
        <v>0</v>
      </c>
      <c r="F25" s="1301"/>
      <c r="G25" s="1316"/>
      <c r="H25" s="942" t="s">
        <v>821</v>
      </c>
      <c r="I25" s="1355"/>
      <c r="J25" s="1370">
        <v>0</v>
      </c>
    </row>
    <row r="26" spans="1:17" ht="18.75" customHeight="1" thickBot="1" x14ac:dyDescent="0.3">
      <c r="A26" s="1302" t="s">
        <v>819</v>
      </c>
      <c r="B26" s="1244"/>
      <c r="C26" s="33"/>
      <c r="D26" s="36"/>
      <c r="E26" s="1333">
        <v>0</v>
      </c>
      <c r="F26" s="1334">
        <v>0</v>
      </c>
      <c r="G26" s="1339">
        <v>0</v>
      </c>
      <c r="H26" s="945"/>
      <c r="I26" s="1051"/>
      <c r="J26" s="1356"/>
    </row>
    <row r="27" spans="1:17" ht="18.75" customHeight="1" x14ac:dyDescent="0.25">
      <c r="A27" s="1302" t="s">
        <v>530</v>
      </c>
      <c r="B27" s="1244"/>
      <c r="C27" s="1335">
        <v>0</v>
      </c>
      <c r="D27" s="1337">
        <v>0</v>
      </c>
      <c r="E27" s="1335"/>
      <c r="F27" s="1336"/>
      <c r="G27" s="1340">
        <v>0</v>
      </c>
      <c r="K27" s="18"/>
    </row>
    <row r="28" spans="1:17" ht="18.75" customHeight="1" thickBot="1" x14ac:dyDescent="0.3">
      <c r="A28" s="1303" t="s">
        <v>820</v>
      </c>
      <c r="B28" s="1349"/>
      <c r="C28" s="1350">
        <v>0</v>
      </c>
      <c r="D28" s="1351">
        <v>0</v>
      </c>
      <c r="E28" s="1350"/>
      <c r="F28" s="1352"/>
      <c r="G28" s="1353">
        <v>0</v>
      </c>
    </row>
    <row r="29" spans="1:17" ht="18.75" customHeight="1" thickBot="1" x14ac:dyDescent="0.3">
      <c r="A29" s="809"/>
      <c r="B29" s="1977" t="s">
        <v>241</v>
      </c>
      <c r="C29" s="1978"/>
      <c r="D29" s="1978"/>
      <c r="E29" s="1978"/>
      <c r="F29" s="1978"/>
      <c r="G29" s="1979"/>
    </row>
    <row r="30" spans="1:17" ht="18.75" customHeight="1" x14ac:dyDescent="0.25">
      <c r="A30" s="1307" t="s">
        <v>417</v>
      </c>
      <c r="B30" s="1346">
        <v>0</v>
      </c>
      <c r="C30" s="1325"/>
      <c r="D30" s="1325">
        <v>0</v>
      </c>
      <c r="E30" s="1325"/>
      <c r="F30" s="1325">
        <v>0</v>
      </c>
      <c r="G30" s="1326">
        <v>0</v>
      </c>
    </row>
    <row r="31" spans="1:17" ht="18.75" customHeight="1" thickBot="1" x14ac:dyDescent="0.3">
      <c r="A31" s="1303" t="s">
        <v>418</v>
      </c>
      <c r="B31" s="1345"/>
      <c r="C31" s="1322">
        <v>0</v>
      </c>
      <c r="D31" s="1322">
        <v>0</v>
      </c>
      <c r="E31" s="1322">
        <v>0</v>
      </c>
      <c r="F31" s="1322">
        <v>0</v>
      </c>
      <c r="G31" s="1323">
        <v>0</v>
      </c>
    </row>
  </sheetData>
  <mergeCells count="6">
    <mergeCell ref="H1:J2"/>
    <mergeCell ref="B23:G23"/>
    <mergeCell ref="B29:G29"/>
    <mergeCell ref="B2:G2"/>
    <mergeCell ref="B9:G9"/>
    <mergeCell ref="B16:G16"/>
  </mergeCells>
  <conditionalFormatting sqref="B3 C4 D5 E6 F7 G8 G10 E10 C10 B11 D11 F11 G12 B12:F13 C14:G14 B15:G15 G17 C17:C18 E17:E18 F18:F19 B18:B19 D19:D20 G19:G21 E21 C20:C21 B22 E22:G22 E24 D25:E25 C24:C25 E26:F26 G26:G28 C27:D28 B30 D30 C31:E31 F30:G31">
    <cfRule type="cellIs" dxfId="98" priority="3" operator="equal">
      <formula>""</formula>
    </cfRule>
  </conditionalFormatting>
  <conditionalFormatting sqref="O13 B30:G31 B24:G28 B17:G22 B10:G15 B3:G8 J3:J26">
    <cfRule type="cellIs" dxfId="97" priority="1" operator="greaterThan">
      <formula>0</formula>
    </cfRule>
  </conditionalFormatting>
  <pageMargins left="0.7" right="0.7" top="0.75" bottom="0.75" header="0.3" footer="0.3"/>
  <picture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7AC841E2-FE91-4A97-89CD-6BB5B2944D1E}">
            <xm:f>NOT(ISERROR(SEARCH("",B3)))</xm:f>
            <xm:f>""</xm:f>
            <x14:dxf>
              <font>
                <b/>
                <i val="0"/>
                <color theme="1"/>
              </font>
              <fill>
                <patternFill>
                  <bgColor rgb="FFFF0000"/>
                </patternFill>
              </fill>
            </x14:dxf>
          </x14:cfRule>
          <xm:sqref>D4 C3:G3 E4:G5 F6 G6:G7 B8:F8 B4:B7 C5:C7 D6:D7 E7 F10 G11 E11 D10 C11 B10 B14 G13 G18 F17 D17:D18 C19 B17 E19:E20 F20:F21 D21 B20:B21 C22:D22 D24 F24:G25 C26:D26 E27:F28 B24:B28 C30 E30 B31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5"/>
  <dimension ref="A1:AZ50"/>
  <sheetViews>
    <sheetView zoomScale="80" zoomScaleNormal="80" workbookViewId="0">
      <selection activeCell="V8" sqref="V8"/>
    </sheetView>
  </sheetViews>
  <sheetFormatPr defaultRowHeight="33" customHeight="1" x14ac:dyDescent="0.25"/>
  <cols>
    <col min="1" max="3" width="12.85546875" style="43" customWidth="1"/>
    <col min="4" max="4" width="12.85546875" style="1076" customWidth="1"/>
    <col min="5" max="5" width="12.85546875" style="43" customWidth="1"/>
    <col min="6" max="6" width="12.85546875" style="1076" customWidth="1"/>
    <col min="7" max="7" width="12.85546875" style="43" customWidth="1"/>
    <col min="8" max="8" width="12.85546875" style="1076" customWidth="1"/>
    <col min="9" max="9" width="12.85546875" style="43" customWidth="1"/>
    <col min="10" max="10" width="12.85546875" style="1076" customWidth="1"/>
    <col min="11" max="11" width="12.85546875" style="43" customWidth="1"/>
    <col min="12" max="12" width="12.85546875" style="1076" customWidth="1"/>
    <col min="13" max="13" width="12.85546875" style="43" customWidth="1"/>
    <col min="14" max="15" width="12.85546875" style="1076" customWidth="1"/>
    <col min="16" max="17" width="12.85546875" style="43" customWidth="1"/>
    <col min="18" max="28" width="6.28515625" style="43" customWidth="1"/>
    <col min="29" max="29" width="12.5703125" style="43" customWidth="1"/>
    <col min="30" max="40" width="6.28515625" style="43" customWidth="1"/>
    <col min="41" max="41" width="12.85546875" style="43" customWidth="1"/>
    <col min="42" max="52" width="6.28515625" style="43" customWidth="1"/>
    <col min="53" max="16384" width="9.140625" style="43"/>
  </cols>
  <sheetData>
    <row r="1" spans="1:52" ht="33" customHeight="1" thickBot="1" x14ac:dyDescent="0.3">
      <c r="A1" s="1111" t="s">
        <v>371</v>
      </c>
      <c r="B1" s="1108" t="s">
        <v>89</v>
      </c>
      <c r="C1" s="1108" t="s">
        <v>90</v>
      </c>
      <c r="D1" s="1108" t="s">
        <v>761</v>
      </c>
      <c r="E1" s="1108" t="s">
        <v>762</v>
      </c>
      <c r="F1" s="1108" t="s">
        <v>763</v>
      </c>
      <c r="G1" s="1108" t="s">
        <v>764</v>
      </c>
      <c r="H1" s="1108" t="s">
        <v>765</v>
      </c>
      <c r="I1" s="1108" t="s">
        <v>766</v>
      </c>
      <c r="J1" s="1108" t="s">
        <v>767</v>
      </c>
      <c r="K1" s="1108" t="s">
        <v>768</v>
      </c>
      <c r="L1" s="1108" t="s">
        <v>769</v>
      </c>
      <c r="M1" s="1108" t="s">
        <v>770</v>
      </c>
      <c r="N1" s="1110" t="s">
        <v>771</v>
      </c>
      <c r="O1" s="43"/>
      <c r="P1" s="1986" t="s">
        <v>795</v>
      </c>
      <c r="Q1" s="1987"/>
      <c r="R1" s="1987"/>
      <c r="S1" s="1987"/>
      <c r="T1" s="1987"/>
      <c r="U1" s="1987"/>
      <c r="V1" s="1987"/>
      <c r="W1" s="1987"/>
      <c r="X1" s="1987"/>
      <c r="Y1" s="1987"/>
      <c r="Z1" s="1987"/>
      <c r="AA1" s="1987"/>
      <c r="AB1" s="1987"/>
      <c r="AC1" s="1987"/>
      <c r="AD1" s="1987"/>
      <c r="AE1" s="1987"/>
      <c r="AF1" s="1987"/>
      <c r="AG1" s="1987"/>
      <c r="AH1" s="1987"/>
      <c r="AI1" s="1987"/>
      <c r="AJ1" s="1987"/>
      <c r="AK1" s="1987"/>
      <c r="AL1" s="1987"/>
      <c r="AM1" s="1987"/>
      <c r="AN1" s="1987"/>
      <c r="AO1" s="1987"/>
      <c r="AP1" s="1987"/>
      <c r="AQ1" s="1987"/>
      <c r="AR1" s="1987"/>
      <c r="AS1" s="1987"/>
      <c r="AT1" s="1987"/>
      <c r="AU1" s="1987"/>
      <c r="AV1" s="1987"/>
      <c r="AW1" s="1987"/>
      <c r="AX1" s="1987"/>
      <c r="AY1" s="1987"/>
      <c r="AZ1" s="1987"/>
    </row>
    <row r="2" spans="1:52" ht="33" customHeight="1" x14ac:dyDescent="0.25">
      <c r="A2" s="1088" t="s">
        <v>772</v>
      </c>
      <c r="B2" s="1089"/>
      <c r="C2" s="1105" t="s">
        <v>778</v>
      </c>
      <c r="D2" s="1091"/>
      <c r="E2" s="1090"/>
      <c r="F2" s="1092"/>
      <c r="G2" s="1090"/>
      <c r="H2" s="1092"/>
      <c r="I2" s="1090"/>
      <c r="J2" s="1092"/>
      <c r="K2" s="1090"/>
      <c r="L2" s="1092"/>
      <c r="M2" s="1090"/>
      <c r="N2" s="1093"/>
      <c r="P2" s="1160" t="s">
        <v>86</v>
      </c>
      <c r="Q2" s="1161" t="s">
        <v>89</v>
      </c>
      <c r="R2" s="1167" t="s">
        <v>90</v>
      </c>
      <c r="S2" s="1167" t="s">
        <v>761</v>
      </c>
      <c r="T2" s="1167" t="s">
        <v>762</v>
      </c>
      <c r="U2" s="1167" t="s">
        <v>763</v>
      </c>
      <c r="V2" s="1167" t="s">
        <v>764</v>
      </c>
      <c r="W2" s="1167" t="s">
        <v>765</v>
      </c>
      <c r="X2" s="1167" t="s">
        <v>766</v>
      </c>
      <c r="Y2" s="1167" t="s">
        <v>767</v>
      </c>
      <c r="Z2" s="1167" t="s">
        <v>768</v>
      </c>
      <c r="AA2" s="1167" t="s">
        <v>769</v>
      </c>
      <c r="AB2" s="1168" t="s">
        <v>783</v>
      </c>
      <c r="AC2" s="1156" t="s">
        <v>770</v>
      </c>
      <c r="AD2" s="1169" t="s">
        <v>771</v>
      </c>
      <c r="AE2" s="1169" t="s">
        <v>785</v>
      </c>
      <c r="AF2" s="1169" t="s">
        <v>786</v>
      </c>
      <c r="AG2" s="1169" t="s">
        <v>787</v>
      </c>
      <c r="AH2" s="1169" t="s">
        <v>788</v>
      </c>
      <c r="AI2" s="1169" t="s">
        <v>789</v>
      </c>
      <c r="AJ2" s="1169" t="s">
        <v>790</v>
      </c>
      <c r="AK2" s="1169" t="s">
        <v>791</v>
      </c>
      <c r="AL2" s="1169" t="s">
        <v>792</v>
      </c>
      <c r="AM2" s="1169" t="s">
        <v>793</v>
      </c>
      <c r="AN2" s="1170" t="s">
        <v>794</v>
      </c>
      <c r="AO2" s="1156" t="s">
        <v>797</v>
      </c>
      <c r="AP2" s="1169" t="s">
        <v>798</v>
      </c>
      <c r="AQ2" s="1169" t="s">
        <v>799</v>
      </c>
      <c r="AR2" s="1169" t="s">
        <v>800</v>
      </c>
      <c r="AS2" s="1169" t="s">
        <v>801</v>
      </c>
      <c r="AT2" s="1169" t="s">
        <v>802</v>
      </c>
      <c r="AU2" s="1169" t="s">
        <v>803</v>
      </c>
      <c r="AV2" s="1169" t="s">
        <v>804</v>
      </c>
      <c r="AW2" s="1169" t="s">
        <v>805</v>
      </c>
      <c r="AX2" s="1169" t="s">
        <v>806</v>
      </c>
      <c r="AY2" s="1169" t="s">
        <v>807</v>
      </c>
      <c r="AZ2" s="1170" t="s">
        <v>796</v>
      </c>
    </row>
    <row r="3" spans="1:52" ht="33" customHeight="1" x14ac:dyDescent="0.25">
      <c r="A3" s="1088"/>
      <c r="B3" s="1090"/>
      <c r="C3" s="1090"/>
      <c r="D3" s="1091"/>
      <c r="E3" s="1090"/>
      <c r="F3" s="1092"/>
      <c r="G3" s="1090"/>
      <c r="H3" s="1092"/>
      <c r="I3" s="1090"/>
      <c r="J3" s="1092"/>
      <c r="K3" s="1090"/>
      <c r="L3" s="1092"/>
      <c r="M3" s="1090"/>
      <c r="N3" s="1093"/>
      <c r="P3" s="1162" t="s">
        <v>772</v>
      </c>
      <c r="Q3" s="1163"/>
      <c r="R3" s="800"/>
      <c r="S3" s="800"/>
      <c r="T3" s="800"/>
      <c r="U3" s="800"/>
      <c r="V3" s="800"/>
      <c r="W3" s="800"/>
      <c r="X3" s="800"/>
      <c r="Y3" s="800"/>
      <c r="Z3" s="800"/>
      <c r="AA3" s="800"/>
      <c r="AB3" s="1187"/>
      <c r="AC3" s="1157"/>
      <c r="AD3" s="1151"/>
      <c r="AE3" s="1151"/>
      <c r="AF3" s="1151"/>
      <c r="AG3" s="1151"/>
      <c r="AH3" s="1151"/>
      <c r="AI3" s="1151"/>
      <c r="AJ3" s="1151"/>
      <c r="AK3" s="1151"/>
      <c r="AL3" s="1151"/>
      <c r="AM3" s="1151"/>
      <c r="AN3" s="1193"/>
      <c r="AO3" s="1181"/>
      <c r="AP3" s="1180"/>
      <c r="AQ3" s="1180"/>
      <c r="AR3" s="1180"/>
      <c r="AS3" s="1180"/>
      <c r="AT3" s="1180"/>
      <c r="AU3" s="1180"/>
      <c r="AV3" s="1180"/>
      <c r="AW3" s="1180"/>
      <c r="AX3" s="1180"/>
      <c r="AY3" s="1180"/>
      <c r="AZ3" s="1190"/>
    </row>
    <row r="4" spans="1:52" ht="33" customHeight="1" x14ac:dyDescent="0.25">
      <c r="A4" s="1094" t="s">
        <v>364</v>
      </c>
      <c r="B4" s="1089"/>
      <c r="C4" s="1090" t="s">
        <v>71</v>
      </c>
      <c r="D4" s="1091">
        <v>0.1</v>
      </c>
      <c r="E4" s="1090" t="s">
        <v>69</v>
      </c>
      <c r="F4" s="1091">
        <v>0.1</v>
      </c>
      <c r="G4" s="1090" t="s">
        <v>278</v>
      </c>
      <c r="H4" s="1091">
        <v>0.1</v>
      </c>
      <c r="I4" s="1095" t="s">
        <v>601</v>
      </c>
      <c r="J4" s="1091">
        <v>0.1</v>
      </c>
      <c r="K4" s="1095" t="s">
        <v>399</v>
      </c>
      <c r="L4" s="1092">
        <v>6</v>
      </c>
      <c r="M4" s="1090" t="s">
        <v>333</v>
      </c>
      <c r="N4" s="1093">
        <v>0</v>
      </c>
      <c r="P4" s="1162" t="s">
        <v>365</v>
      </c>
      <c r="Q4" s="1163" t="s">
        <v>278</v>
      </c>
      <c r="R4" s="1152">
        <f>IF(Стимуляторы!E3="гемобуфер альфа",TEXT(IF(Стимуляторы!E3="гемобуфер альфа",0.5^(COUNTIF(Стимуляторы!$E$3:E3,"гемобуфер альфа")-1)*$D$17,0),"# ##0,0%"),0)</f>
        <v>0</v>
      </c>
      <c r="S4" s="1152">
        <f>IF(Стимуляторы!F3="гемобуфер альфа",TEXT(IF(Стимуляторы!F3="гемобуфер альфа",0.5^(COUNTIF(Стимуляторы!$E$3:F3,"гемобуфер альфа")-1)*$D$17,0),"# ##0,0%"),0)</f>
        <v>0</v>
      </c>
      <c r="T4" s="1152">
        <f>IF(Стимуляторы!G3="гемобуфер альфа",TEXT(IF(Стимуляторы!G3="гемобуфер альфа",0.5^(COUNTIF(Стимуляторы!$E$3:G3,"гемобуфер альфа")-1)*$D$17,0),"# ##0,0%"),0)</f>
        <v>0</v>
      </c>
      <c r="U4" s="1152">
        <f>IF(Стимуляторы!H3="гемобуфер альфа",TEXT(IF(Стимуляторы!H3="гемобуфер альфа",0.5^(COUNTIF(Стимуляторы!$E$3:H3,"гемобуфер альфа")-1)*$D$17,0),"# ##0,0%"),0)</f>
        <v>0</v>
      </c>
      <c r="V4" s="1152">
        <f>IF(Стимуляторы!I3="гемобуфер альфа",TEXT(IF(Стимуляторы!I3="гемобуфер альфа",0.5^(COUNTIF(Стимуляторы!$E$3:I3,"гемобуфер альфа")-1)*$D$17,0),"# ##0,0%"),0)</f>
        <v>0</v>
      </c>
      <c r="W4" s="1152">
        <f>IF(Стимуляторы!J3="гемобуфер альфа",TEXT(IF(Стимуляторы!J3="гемобуфер альфа",0.5^(COUNTIF(Стимуляторы!$E$3:J3,"гемобуфер альфа")-1)*$D$17,0),"# ##0,0%"),0)</f>
        <v>0</v>
      </c>
      <c r="X4" s="1152">
        <f>IF(Стимуляторы!K3="гемобуфер альфа",TEXT(IF(Стимуляторы!K3="гемобуфер альфа",0.5^(COUNTIF(Стимуляторы!$E$3:K3,"гемобуфер альфа")-1)*$D$17,0),"# ##0,0%"),0)</f>
        <v>0</v>
      </c>
      <c r="Y4" s="1152">
        <f>IF(Стимуляторы!L3="гемобуфер альфа",TEXT(IF(Стимуляторы!L3="гемобуфер альфа",0.5^(COUNTIF(Стимуляторы!$E$3:L3,"гемобуфер альфа")-1)*$D$17,0),"# ##0,0%"),0)</f>
        <v>0</v>
      </c>
      <c r="Z4" s="1152">
        <f>IF(Стимуляторы!M3="гемобуфер альфа",TEXT(IF(Стимуляторы!M3="гемобуфер альфа",0.5^(COUNTIF(Стимуляторы!$E$3:M3,"гемобуфер альфа")-1)*$D$17,0),"# ##0,0%"),0)</f>
        <v>0</v>
      </c>
      <c r="AA4" s="1152">
        <f>IF(Стимуляторы!N3="гемобуфер альфа",TEXT(IF(Стимуляторы!N3="гемобуфер альфа",0.5^(COUNTIF(Стимуляторы!$E$3:N3,"гемобуфер альфа")-1)*$D$17,0),"# ##0,0%"),0)</f>
        <v>0</v>
      </c>
      <c r="AB4" s="1188">
        <f>COUNTIF(R4:AA4,"*")</f>
        <v>0</v>
      </c>
      <c r="AC4" s="1158" t="s">
        <v>773</v>
      </c>
      <c r="AD4" s="1194">
        <f>IF(Стимуляторы!E3="гемобуфер альфа",TEXT(IF(Стимуляторы!E3="гемобуфер альфа",0.5^(COUNTIF(Стимуляторы!$E$3:E3,"гемобуфер альфа")-1)*$F$17,0),"# ##0,0"),0)</f>
        <v>0</v>
      </c>
      <c r="AE4" s="1194">
        <f>IF(Стимуляторы!F3="гемобуфер альфа",TEXT(IF(Стимуляторы!F3="гемобуфер альфа",0.5^(COUNTIF(Стимуляторы!$E$3:F3,"гемобуфер альфа")-1)*$F$17,0),"# ##0,0"),0)</f>
        <v>0</v>
      </c>
      <c r="AF4" s="1194">
        <f>IF(Стимуляторы!G3="гемобуфер альфа",TEXT(IF(Стимуляторы!G3="гемобуфер альфа",0.5^(COUNTIF(Стимуляторы!$E$3:G3,"гемобуфер альфа")-1)*$F$17,0),"# ##0,0"),0)</f>
        <v>0</v>
      </c>
      <c r="AG4" s="1194">
        <f>IF(Стимуляторы!H3="гемобуфер альфа",TEXT(IF(Стимуляторы!H3="гемобуфер альфа",0.5^(COUNTIF(Стимуляторы!$E$3:H3,"гемобуфер альфа")-1)*$F$17,0),"# ##0,0"),0)</f>
        <v>0</v>
      </c>
      <c r="AH4" s="1194">
        <f>IF(Стимуляторы!I3="гемобуфер альфа",TEXT(IF(Стимуляторы!I3="гемобуфер альфа",0.5^(COUNTIF(Стимуляторы!$E$3:I3,"гемобуфер альфа")-1)*$F$17,0),"# ##0,0"),0)</f>
        <v>0</v>
      </c>
      <c r="AI4" s="1194">
        <f>IF(Стимуляторы!J3="гемобуфер альфа",TEXT(IF(Стимуляторы!J3="гемобуфер альфа",0.5^(COUNTIF(Стимуляторы!$E$3:J3,"гемобуфер альфа")-1)*$F$17,0),"# ##0,0"),0)</f>
        <v>0</v>
      </c>
      <c r="AJ4" s="1194">
        <f>IF(Стимуляторы!K3="гемобуфер альфа",TEXT(IF(Стимуляторы!K3="гемобуфер альфа",0.5^(COUNTIF(Стимуляторы!$E$3:K3,"гемобуфер альфа")-1)*$F$17,0),"# ##0,0"),0)</f>
        <v>0</v>
      </c>
      <c r="AK4" s="1194">
        <f>IF(Стимуляторы!L3="гемобуфер альфа",TEXT(IF(Стимуляторы!L3="гемобуфер альфа",0.5^(COUNTIF(Стимуляторы!$E$3:L3,"гемобуфер альфа")-1)*$F$17,0),"# ##0,0"),0)</f>
        <v>0</v>
      </c>
      <c r="AL4" s="1194">
        <f>IF(Стимуляторы!M3="гемобуфер альфа",TEXT(IF(Стимуляторы!M3="гемобуфер альфа",0.5^(COUNTIF(Стимуляторы!$E$3:M3,"гемобуфер альфа")-1)*$F$17,0),"# ##0,0"),0)</f>
        <v>0</v>
      </c>
      <c r="AM4" s="1194">
        <f>IF(Стимуляторы!N3="гемобуфер альфа",TEXT(IF(Стимуляторы!N3="гемобуфер альфа",0.5^(COUNTIF(Стимуляторы!$E$3:N3,"гемобуфер альфа")-1)*$F$17,0),"# ##0,0"),0)</f>
        <v>0</v>
      </c>
      <c r="AN4" s="1191">
        <f>COUNTIF(AD4:AM4,"*")</f>
        <v>0</v>
      </c>
      <c r="AO4" s="1171"/>
      <c r="AP4" s="1172"/>
      <c r="AQ4" s="1172"/>
      <c r="AR4" s="1172"/>
      <c r="AS4" s="1172"/>
      <c r="AT4" s="1172"/>
      <c r="AU4" s="1172"/>
      <c r="AV4" s="1172"/>
      <c r="AW4" s="1172"/>
      <c r="AX4" s="1172"/>
      <c r="AY4" s="1172"/>
      <c r="AZ4" s="1191"/>
    </row>
    <row r="5" spans="1:52" ht="33" customHeight="1" x14ac:dyDescent="0.25">
      <c r="A5" s="1094" t="s">
        <v>757</v>
      </c>
      <c r="B5" s="1089"/>
      <c r="C5" s="1090" t="s">
        <v>71</v>
      </c>
      <c r="D5" s="1091">
        <v>0.1</v>
      </c>
      <c r="E5" s="1090" t="s">
        <v>69</v>
      </c>
      <c r="F5" s="1091">
        <v>0.1</v>
      </c>
      <c r="G5" s="1090" t="s">
        <v>278</v>
      </c>
      <c r="H5" s="1091">
        <v>0.1</v>
      </c>
      <c r="I5" s="1095" t="s">
        <v>601</v>
      </c>
      <c r="J5" s="1091">
        <v>0.1</v>
      </c>
      <c r="K5" s="1095" t="s">
        <v>399</v>
      </c>
      <c r="L5" s="1092">
        <v>6</v>
      </c>
      <c r="M5" s="1090" t="s">
        <v>333</v>
      </c>
      <c r="N5" s="1093">
        <v>0</v>
      </c>
      <c r="P5" s="1162" t="s">
        <v>500</v>
      </c>
      <c r="Q5" s="1164" t="s">
        <v>278</v>
      </c>
      <c r="R5" s="1152">
        <f>IF(Стимуляторы!E3="гемобуфер бета",TEXT(IF(Стимуляторы!E3="гемобуфер бета",0.5^(COUNTIF(Стимуляторы!$E$3:E3,"гемобуфер бета")+$AB$4-1)*$D$24,""),"# ##0,0%"),0)</f>
        <v>0</v>
      </c>
      <c r="S5" s="1152">
        <f>IF(Стимуляторы!F3="гемобуфер бета",TEXT(IF(Стимуляторы!F3="гемобуфер бета",0.5^(COUNTIF(Стимуляторы!$E$3:F3,"гемобуфер бета")+$AB$4-1)*$D$24,""),"# ##0,0%"),0)</f>
        <v>0</v>
      </c>
      <c r="T5" s="1152">
        <f>IF(Стимуляторы!G3="гемобуфер бета",TEXT(IF(Стимуляторы!G3="гемобуфер бета",0.5^(COUNTIF(Стимуляторы!$E$3:G3,"гемобуфер бета")+$AB$4-1)*$D$24,""),"# ##0,0%"),0)</f>
        <v>0</v>
      </c>
      <c r="U5" s="1152">
        <f>IF(Стимуляторы!H3="гемобуфер бета",TEXT(IF(Стимуляторы!H3="гемобуфер бета",0.5^(COUNTIF(Стимуляторы!$E$3:H3,"гемобуфер бета")+$AB$4-1)*$D$24,""),"# ##0,0%"),0)</f>
        <v>0</v>
      </c>
      <c r="V5" s="1152">
        <f>IF(Стимуляторы!I3="гемобуфер бета",TEXT(IF(Стимуляторы!I3="гемобуфер бета",0.5^(COUNTIF(Стимуляторы!$E$3:I3,"гемобуфер бета")+$AB$4-1)*$D$24,""),"# ##0,0%"),0)</f>
        <v>0</v>
      </c>
      <c r="W5" s="1152">
        <f>IF(Стимуляторы!J3="гемобуфер бета",TEXT(IF(Стимуляторы!J3="гемобуфер бета",0.5^(COUNTIF(Стимуляторы!$E$3:J3,"гемобуфер бета")+$AB$4-1)*$D$24,""),"# ##0,0%"),0)</f>
        <v>0</v>
      </c>
      <c r="X5" s="1152">
        <f>IF(Стимуляторы!K3="гемобуфер бета",TEXT(IF(Стимуляторы!K3="гемобуфер бета",0.5^(COUNTIF(Стимуляторы!$E$3:K3,"гемобуфер бета")+$AB$4-1)*$D$24,""),"# ##0,0%"),0)</f>
        <v>0</v>
      </c>
      <c r="Y5" s="1152">
        <f>IF(Стимуляторы!L3="гемобуфер бета",TEXT(IF(Стимуляторы!L3="гемобуфер бета",0.5^(COUNTIF(Стимуляторы!$E$3:L3,"гемобуфер бета")+$AB$4-1)*$D$24,""),"# ##0,0%"),0)</f>
        <v>0</v>
      </c>
      <c r="Z5" s="1152">
        <f>IF(Стимуляторы!M3="гемобуфер бета",TEXT(IF(Стимуляторы!M3="гемобуфер бета",0.5^(COUNTIF(Стимуляторы!$E$3:M3,"гемобуфер бета")+$AB$4-1)*$D$24,""),"# ##0,0%"),0)</f>
        <v>0</v>
      </c>
      <c r="AA5" s="1152">
        <f>IF(Стимуляторы!N3="гемобуфер бета",TEXT(IF(Стимуляторы!N3="гемобуфер бета",0.5^(COUNTIF(Стимуляторы!$E$3:N3,"гемобуфер бета")+$AB$4-1)*$D$24,""),"# ##0,0%"),0)</f>
        <v>0</v>
      </c>
      <c r="AB5" s="1188">
        <f t="shared" ref="AB5:AB7" si="0">COUNTIF(R5:AA5,"*")</f>
        <v>0</v>
      </c>
      <c r="AC5" s="1158" t="s">
        <v>773</v>
      </c>
      <c r="AD5" s="1194">
        <f>IF(Стимуляторы!E3="гемобуфер бета",TEXT(IF(Стимуляторы!E3="гемобуфер бета",0.5^(COUNTIF(Стимуляторы!$E$3:E3,"гемобуфер бета")+$AN$4-1)*$F$24,0),"# ##0,0"),0)</f>
        <v>0</v>
      </c>
      <c r="AE5" s="1194">
        <f>IF(Стимуляторы!F3="гемобуфер бета",TEXT(IF(Стимуляторы!F3="гемобуфер бета",0.5^(COUNTIF(Стимуляторы!$E$3:F3,"гемобуфер бета")+$AN$4-1)*$F$24,0),"# ##0,0"),0)</f>
        <v>0</v>
      </c>
      <c r="AF5" s="1194">
        <f>IF(Стимуляторы!G3="гемобуфер бета",TEXT(IF(Стимуляторы!G3="гемобуфер бета",0.5^(COUNTIF(Стимуляторы!$E$3:G3,"гемобуфер бета")+$AN$4-1)*$F$24,0),"# ##0,0"),0)</f>
        <v>0</v>
      </c>
      <c r="AG5" s="1194">
        <f>IF(Стимуляторы!H3="гемобуфер бета",TEXT(IF(Стимуляторы!H3="гемобуфер бета",0.5^(COUNTIF(Стимуляторы!$E$3:H3,"гемобуфер бета")+$AN$4-1)*$F$24,0),"# ##0,0"),0)</f>
        <v>0</v>
      </c>
      <c r="AH5" s="1194">
        <f>IF(Стимуляторы!I3="гемобуфер бета",TEXT(IF(Стимуляторы!I3="гемобуфер бета",0.5^(COUNTIF(Стимуляторы!$E$3:I3,"гемобуфер бета")+$AN$4-1)*$F$24,0),"# ##0,0"),0)</f>
        <v>0</v>
      </c>
      <c r="AI5" s="1194">
        <f>IF(Стимуляторы!J3="гемобуфер бета",TEXT(IF(Стимуляторы!J3="гемобуфер бета",0.5^(COUNTIF(Стимуляторы!$E$3:J3,"гемобуфер бета")+$AN$4-1)*$F$24,0),"# ##0,0"),0)</f>
        <v>0</v>
      </c>
      <c r="AJ5" s="1194">
        <f>IF(Стимуляторы!K3="гемобуфер бета",TEXT(IF(Стимуляторы!K3="гемобуфер бета",0.5^(COUNTIF(Стимуляторы!$E$3:K3,"гемобуфер бета")+$AN$4-1)*$F$24,0),"# ##0,0"),0)</f>
        <v>0</v>
      </c>
      <c r="AK5" s="1194">
        <f>IF(Стимуляторы!L3="гемобуфер бета",TEXT(IF(Стимуляторы!L3="гемобуфер бета",0.5^(COUNTIF(Стимуляторы!$E$3:L3,"гемобуфер бета")+$AN$4-1)*$F$24,0),"# ##0,0"),0)</f>
        <v>0</v>
      </c>
      <c r="AL5" s="1194">
        <f>IF(Стимуляторы!M3="гемобуфер бета",TEXT(IF(Стимуляторы!M3="гемобуфер бета",0.5^(COUNTIF(Стимуляторы!$E$3:M3,"гемобуфер бета")+$AN$4-1)*$F$24,0),"# ##0,0"),0)</f>
        <v>0</v>
      </c>
      <c r="AM5" s="1194">
        <f>IF(Стимуляторы!N3="гемобуфер бета",TEXT(IF(Стимуляторы!N3="гемобуфер бета",0.5^(COUNTIF(Стимуляторы!$E$3:N3,"гемобуфер бета")+$AN$4-1)*$F$24,0),"# ##0,0"),0)</f>
        <v>0</v>
      </c>
      <c r="AN5" s="1191">
        <f t="shared" ref="AN5:AN7" si="1">COUNTIF(AD5:AM5,"*")</f>
        <v>0</v>
      </c>
      <c r="AO5" s="1171"/>
      <c r="AP5" s="1172"/>
      <c r="AQ5" s="1172"/>
      <c r="AR5" s="1172"/>
      <c r="AS5" s="1172"/>
      <c r="AT5" s="1172"/>
      <c r="AU5" s="1172"/>
      <c r="AV5" s="1172"/>
      <c r="AW5" s="1172"/>
      <c r="AX5" s="1172"/>
      <c r="AY5" s="1172"/>
      <c r="AZ5" s="1191"/>
    </row>
    <row r="6" spans="1:52" ht="33" customHeight="1" x14ac:dyDescent="0.25">
      <c r="A6" s="1106" t="s">
        <v>477</v>
      </c>
      <c r="B6" s="1098"/>
      <c r="C6" s="1099" t="s">
        <v>71</v>
      </c>
      <c r="D6" s="1100">
        <v>0.15</v>
      </c>
      <c r="E6" s="1099" t="s">
        <v>69</v>
      </c>
      <c r="F6" s="1100">
        <v>0.15</v>
      </c>
      <c r="G6" s="1099" t="s">
        <v>278</v>
      </c>
      <c r="H6" s="1100">
        <v>0.15</v>
      </c>
      <c r="I6" s="1101" t="s">
        <v>601</v>
      </c>
      <c r="J6" s="1100">
        <v>0.15</v>
      </c>
      <c r="K6" s="1101" t="s">
        <v>399</v>
      </c>
      <c r="L6" s="1102">
        <v>15</v>
      </c>
      <c r="M6" s="1099" t="s">
        <v>333</v>
      </c>
      <c r="N6" s="1104">
        <v>0</v>
      </c>
      <c r="P6" s="1162" t="s">
        <v>368</v>
      </c>
      <c r="Q6" s="1164" t="s">
        <v>278</v>
      </c>
      <c r="R6" s="1152">
        <f>IF(Стимуляторы!E3="гемобуфер альфа М",TEXT(IF(Стимуляторы!E3="гемобуфер альфа М",0.5^(COUNTIF(Стимуляторы!$E$3:E3,"гемобуфер альфа М")+$AB$4+$AB$5-1)*$D$31,0),"# ##0,0%"),0)</f>
        <v>0</v>
      </c>
      <c r="S6" s="1152">
        <f>IF(Стимуляторы!F3="гемобуфер альфа М",TEXT(IF(Стимуляторы!F3="гемобуфер альфа М",0.5^(COUNTIF(Стимуляторы!$E$3:F3,"гемобуфер альфа М")+$AB$4+$AB$5-1)*$D$31,0),"# ##0,0%"),0)</f>
        <v>0</v>
      </c>
      <c r="T6" s="1152">
        <f>IF(Стимуляторы!G3="гемобуфер альфа М",TEXT(IF(Стимуляторы!G3="гемобуфер альфа М",0.5^(COUNTIF(Стимуляторы!$E$3:G3,"гемобуфер альфа М")+$AB$4+$AB$5-1)*$D$31,0),"# ##0,0%"),0)</f>
        <v>0</v>
      </c>
      <c r="U6" s="1152">
        <f>IF(Стимуляторы!H3="гемобуфер альфа М",TEXT(IF(Стимуляторы!H3="гемобуфер альфа М",0.5^(COUNTIF(Стимуляторы!$E$3:H3,"гемобуфер альфа М")+$AB$4+$AB$5-1)*$D$31,0),"# ##0,0%"),0)</f>
        <v>0</v>
      </c>
      <c r="V6" s="1152">
        <f>IF(Стимуляторы!I3="гемобуфер альфа М",TEXT(IF(Стимуляторы!I3="гемобуфер альфа М",0.5^(COUNTIF(Стимуляторы!$E$3:I3,"гемобуфер альфа М")+$AB$4+$AB$5-1)*$D$31,0),"# ##0,0%"),0)</f>
        <v>0</v>
      </c>
      <c r="W6" s="1152">
        <f>IF(Стимуляторы!J3="гемобуфер альфа М",TEXT(IF(Стимуляторы!J3="гемобуфер альфа М",0.5^(COUNTIF(Стимуляторы!$E$3:J3,"гемобуфер альфа М")+$AB$4+$AB$5-1)*$D$31,0),"# ##0,0%"),0)</f>
        <v>0</v>
      </c>
      <c r="X6" s="1152">
        <f>IF(Стимуляторы!K3="гемобуфер альфа М",TEXT(IF(Стимуляторы!K3="гемобуфер альфа М",0.5^(COUNTIF(Стимуляторы!$E$3:K3,"гемобуфер альфа М")+$AB$4+$AB$5-1)*$D$31,0),"# ##0,0%"),0)</f>
        <v>0</v>
      </c>
      <c r="Y6" s="1152">
        <f>IF(Стимуляторы!L3="гемобуфер альфа М",TEXT(IF(Стимуляторы!L3="гемобуфер альфа М",0.5^(COUNTIF(Стимуляторы!$E$3:L3,"гемобуфер альфа М")+$AB$4+$AB$5-1)*$D$31,0),"# ##0,0%"),0)</f>
        <v>0</v>
      </c>
      <c r="Z6" s="1152">
        <f>IF(Стимуляторы!M3="гемобуфер альфа М",TEXT(IF(Стимуляторы!M3="гемобуфер альфа М",0.5^(COUNTIF(Стимуляторы!$E$3:M3,"гемобуфер альфа М")+$AB$4+$AB$5-1)*$D$31,0),"# ##0,0%"),0)</f>
        <v>0</v>
      </c>
      <c r="AA6" s="1152">
        <f>IF(Стимуляторы!N3="гемобуфер альфа М",TEXT(IF(Стимуляторы!N3="гемобуфер альфа М",0.5^(COUNTIF(Стимуляторы!$E$3:N3,"гемобуфер альфа М")+$AB$4+$AB$5-1)*$D$31,0),"# ##0,0%"),0)</f>
        <v>0</v>
      </c>
      <c r="AB6" s="1188">
        <f t="shared" si="0"/>
        <v>0</v>
      </c>
      <c r="AC6" s="1158" t="s">
        <v>773</v>
      </c>
      <c r="AD6" s="1194">
        <f>IF(Стимуляторы!E3="гемобуфер альфа М",TEXT(IF(Стимуляторы!E3="гемобуфер альфа М",0.5^(COUNTIF(Стимуляторы!$E$3:E3,"гемобуфер альфа М")+$AN$4+$AN$5-1)*$F$31,0),"# ##0,0"),0)</f>
        <v>0</v>
      </c>
      <c r="AE6" s="1194">
        <f>IF(Стимуляторы!F3="гемобуфер альфа М",TEXT(IF(Стимуляторы!F3="гемобуфер альфа М",0.5^(COUNTIF(Стимуляторы!$E$3:F3,"гемобуфер альфа М")+$AN$4+$AN$5-1)*$F$31,0),"# ##0,0"),0)</f>
        <v>0</v>
      </c>
      <c r="AF6" s="1194">
        <f>IF(Стимуляторы!G3="гемобуфер альфа М",TEXT(IF(Стимуляторы!G3="гемобуфер альфа М",0.5^(COUNTIF(Стимуляторы!$E$3:G3,"гемобуфер альфа М")+$AN$4+$AN$5-1)*$F$31,0),"# ##0,0"),0)</f>
        <v>0</v>
      </c>
      <c r="AG6" s="1194">
        <f>IF(Стимуляторы!H3="гемобуфер альфа М",TEXT(IF(Стимуляторы!H3="гемобуфер альфа М",0.5^(COUNTIF(Стимуляторы!$E$3:H3,"гемобуфер альфа М")+$AN$4+$AN$5-1)*$F$31,0),"# ##0,0"),0)</f>
        <v>0</v>
      </c>
      <c r="AH6" s="1194">
        <f>IF(Стимуляторы!I3="гемобуфер альфа М",TEXT(IF(Стимуляторы!I3="гемобуфер альфа М",0.5^(COUNTIF(Стимуляторы!$E$3:I3,"гемобуфер альфа М")+$AN$4+$AN$5-1)*$F$31,0),"# ##0,0"),0)</f>
        <v>0</v>
      </c>
      <c r="AI6" s="1194">
        <f>IF(Стимуляторы!J3="гемобуфер альфа М",TEXT(IF(Стимуляторы!J3="гемобуфер альфа М",0.5^(COUNTIF(Стимуляторы!$E$3:J3,"гемобуфер альфа М")+$AN$4+$AN$5-1)*$F$31,0),"# ##0,0"),0)</f>
        <v>0</v>
      </c>
      <c r="AJ6" s="1194">
        <f>IF(Стимуляторы!K3="гемобуфер альфа М",TEXT(IF(Стимуляторы!K3="гемобуфер альфа М",0.5^(COUNTIF(Стимуляторы!$E$3:K3,"гемобуфер альфа М")+$AN$4+$AN$5-1)*$F$31,0),"# ##0,0"),0)</f>
        <v>0</v>
      </c>
      <c r="AK6" s="1194">
        <f>IF(Стимуляторы!L3="гемобуфер альфа М",TEXT(IF(Стимуляторы!L3="гемобуфер альфа М",0.5^(COUNTIF(Стимуляторы!$E$3:L3,"гемобуфер альфа М")+$AN$4+$AN$5-1)*$F$31,0),"# ##0,0"),0)</f>
        <v>0</v>
      </c>
      <c r="AL6" s="1194">
        <f>IF(Стимуляторы!M3="гемобуфер альфа М",TEXT(IF(Стимуляторы!M3="гемобуфер альфа М",0.5^(COUNTIF(Стимуляторы!$E$3:M3,"гемобуфер альфа М")+$AN$4+$AN$5-1)*$F$31,0),"# ##0,0"),0)</f>
        <v>0</v>
      </c>
      <c r="AM6" s="1194">
        <f>IF(Стимуляторы!N3="гемобуфер альфа М",TEXT(IF(Стимуляторы!N3="гемобуфер альфа М",0.5^(COUNTIF(Стимуляторы!$E$3:N3,"гемобуфер альфа М")+$AN$4+$AN$5-1)*$F$31,0),"# ##0,0"),0)</f>
        <v>0</v>
      </c>
      <c r="AN6" s="1191">
        <f t="shared" si="1"/>
        <v>0</v>
      </c>
      <c r="AO6" s="1171"/>
      <c r="AP6" s="1172"/>
      <c r="AQ6" s="1172"/>
      <c r="AR6" s="1172"/>
      <c r="AS6" s="1172"/>
      <c r="AT6" s="1172"/>
      <c r="AU6" s="1172"/>
      <c r="AV6" s="1172"/>
      <c r="AW6" s="1172"/>
      <c r="AX6" s="1172"/>
      <c r="AY6" s="1172"/>
      <c r="AZ6" s="1191"/>
    </row>
    <row r="7" spans="1:52" ht="33" customHeight="1" thickBot="1" x14ac:dyDescent="0.3">
      <c r="D7" s="1085"/>
      <c r="F7" s="1085"/>
      <c r="H7" s="1085"/>
      <c r="I7" s="797"/>
      <c r="J7" s="1085"/>
      <c r="K7" s="797"/>
      <c r="P7" s="1165" t="s">
        <v>784</v>
      </c>
      <c r="Q7" s="1166" t="s">
        <v>278</v>
      </c>
      <c r="R7" s="1153">
        <f>IF(Стимуляторы!E3="гемобуфер бета М",TEXT(IF(Стимуляторы!E3="гемобуфер бета М",0.5^(COUNTIF(Стимуляторы!$E$3:E3,"гемобуфер бета М")+$AB$4+$AB$5+$AB$6-1)*$D$38,0),"# ##0,0%"),0)</f>
        <v>0</v>
      </c>
      <c r="S7" s="1153">
        <f>IF(Стимуляторы!F3="гемобуфер бета М",TEXT(IF(Стимуляторы!F3="гемобуфер бета М",0.5^(COUNTIF(Стимуляторы!$E$3:F3,"гемобуфер бета М")+$AB$4+$AB$5+$AB$6-1)*$D$38,0),"# ##0,0%"),0)</f>
        <v>0</v>
      </c>
      <c r="T7" s="1153">
        <f>IF(Стимуляторы!G3="гемобуфер бета М",TEXT(IF(Стимуляторы!G3="гемобуфер бета М",0.5^(COUNTIF(Стимуляторы!$E$3:G3,"гемобуфер бета М")+$AB$4+$AB$5+$AB$6-1)*$D$38,0),"# ##0,0%"),0)</f>
        <v>0</v>
      </c>
      <c r="U7" s="1153">
        <f>IF(Стимуляторы!H3="гемобуфер бета М",TEXT(IF(Стимуляторы!H3="гемобуфер бета М",0.5^(COUNTIF(Стимуляторы!$E$3:H3,"гемобуфер бета М")+$AB$4+$AB$5+$AB$6-1)*$D$38,0),"# ##0,0%"),0)</f>
        <v>0</v>
      </c>
      <c r="V7" s="1153">
        <f>IF(Стимуляторы!I3="гемобуфер бета М",TEXT(IF(Стимуляторы!I3="гемобуфер бета М",0.5^(COUNTIF(Стимуляторы!$E$3:I3,"гемобуфер бета М")+$AB$4+$AB$5+$AB$6-1)*$D$38,0),"# ##0,0%"),0)</f>
        <v>0</v>
      </c>
      <c r="W7" s="1153">
        <f>IF(Стимуляторы!J3="гемобуфер бета М",TEXT(IF(Стимуляторы!J3="гемобуфер бета М",0.5^(COUNTIF(Стимуляторы!$E$3:J3,"гемобуфер бета М")+$AB$4+$AB$5+$AB$6-1)*$D$38,0),"# ##0,0%"),0)</f>
        <v>0</v>
      </c>
      <c r="X7" s="1153">
        <f>IF(Стимуляторы!K3="гемобуфер бета М",TEXT(IF(Стимуляторы!K3="гемобуфер бета М",0.5^(COUNTIF(Стимуляторы!$E$3:K3,"гемобуфер бета М")+$AB$4+$AB$5+$AB$6-1)*$D$38,0),"# ##0,0%"),0)</f>
        <v>0</v>
      </c>
      <c r="Y7" s="1153">
        <f>IF(Стимуляторы!L3="гемобуфер бета М",TEXT(IF(Стимуляторы!L3="гемобуфер бета М",0.5^(COUNTIF(Стимуляторы!$E$3:L3,"гемобуфер бета М")+$AB$4+$AB$5+$AB$6-1)*$D$38,0),"# ##0,0%"),0)</f>
        <v>0</v>
      </c>
      <c r="Z7" s="1153">
        <f>IF(Стимуляторы!M3="гемобуфер бета М",TEXT(IF(Стимуляторы!M3="гемобуфер бета М",0.5^(COUNTIF(Стимуляторы!$E$3:M3,"гемобуфер бета М")+$AB$4+$AB$5+$AB$6-1)*$D$38,0),"# ##0,0%"),0)</f>
        <v>0</v>
      </c>
      <c r="AA7" s="1153">
        <f>IF(Стимуляторы!N3="гемобуфер бета М",TEXT(IF(Стимуляторы!N3="гемобуфер бета М",0.5^(COUNTIF(Стимуляторы!$E$3:N3,"гемобуфер бета М")+$AB$4+$AB$5+$AB$6-1)*$D$38,0),"# ##0,0%"),0)</f>
        <v>0</v>
      </c>
      <c r="AB7" s="1188">
        <f t="shared" si="0"/>
        <v>0</v>
      </c>
      <c r="AC7" s="1159" t="s">
        <v>773</v>
      </c>
      <c r="AD7" s="735">
        <f>IF(Стимуляторы!E3="гемобуфер бета М",TEXT(IF(Стимуляторы!E3="гемобуфер бета М",0.5^(COUNTIF(Стимуляторы!$E$3:E3,"гемобуфер бета М")+$AN$4+$AN$5+$AN$6-1)*$F$38,0),"# ##0,0"),0)</f>
        <v>0</v>
      </c>
      <c r="AE7" s="735">
        <f>IF(Стимуляторы!F3="гемобуфер бета М",TEXT(IF(Стимуляторы!F3="гемобуфер бета М",0.5^(COUNTIF(Стимуляторы!$E$3:F3,"гемобуфер бета М")+$AN$4+$AN$5+$AN$6-1)*$F$38,0),"# ##0,0"),0)</f>
        <v>0</v>
      </c>
      <c r="AF7" s="735">
        <f>IF(Стимуляторы!G3="гемобуфер бета М",TEXT(IF(Стимуляторы!G3="гемобуфер бета М",0.5^(COUNTIF(Стимуляторы!$E$3:G3,"гемобуфер бета М")+$AN$4+$AN$5+$AN$6-1)*$F$38,0),"# ##0,0"),0)</f>
        <v>0</v>
      </c>
      <c r="AG7" s="735">
        <f>IF(Стимуляторы!H3="гемобуфер бета М",TEXT(IF(Стимуляторы!H3="гемобуфер бета М",0.5^(COUNTIF(Стимуляторы!$E$3:H3,"гемобуфер бета М")+$AN$4+$AN$5+$AN$6-1)*$F$38,0),"# ##0,0"),0)</f>
        <v>0</v>
      </c>
      <c r="AH7" s="735">
        <f>IF(Стимуляторы!I3="гемобуфер бета М",TEXT(IF(Стимуляторы!I3="гемобуфер бета М",0.5^(COUNTIF(Стимуляторы!$E$3:I3,"гемобуфер бета М")+$AN$4+$AN$5+$AN$6-1)*$F$38,0),"# ##0,0"),0)</f>
        <v>0</v>
      </c>
      <c r="AI7" s="735">
        <f>IF(Стимуляторы!J3="гемобуфер бета М",TEXT(IF(Стимуляторы!J3="гемобуфер бета М",0.5^(COUNTIF(Стимуляторы!$E$3:J3,"гемобуфер бета М")+$AN$4+$AN$5+$AN$6-1)*$F$38,0),"# ##0,0"),0)</f>
        <v>0</v>
      </c>
      <c r="AJ7" s="735">
        <f>IF(Стимуляторы!K3="гемобуфер бета М",TEXT(IF(Стимуляторы!K3="гемобуфер бета М",0.5^(COUNTIF(Стимуляторы!$E$3:K3,"гемобуфер бета М")+$AN$4+$AN$5+$AN$6-1)*$F$38,0),"# ##0,0"),0)</f>
        <v>0</v>
      </c>
      <c r="AK7" s="735">
        <f>IF(Стимуляторы!L3="гемобуфер бета М",TEXT(IF(Стимуляторы!L3="гемобуфер бета М",0.5^(COUNTIF(Стимуляторы!$E$3:L3,"гемобуфер бета М")+$AN$4+$AN$5+$AN$6-1)*$F$38,0),"# ##0,0"),0)</f>
        <v>0</v>
      </c>
      <c r="AL7" s="735">
        <f>IF(Стимуляторы!M3="гемобуфер бета М",TEXT(IF(Стимуляторы!M3="гемобуфер бета М",0.5^(COUNTIF(Стимуляторы!$E$3:M3,"гемобуфер бета М")+$AN$4+$AN$5+$AN$6-1)*$F$38,0),"# ##0,0"),0)</f>
        <v>0</v>
      </c>
      <c r="AM7" s="735">
        <f>IF(Стимуляторы!N3="гемобуфер бета М",TEXT(IF(Стимуляторы!N3="гемобуфер бета М",0.5^(COUNTIF(Стимуляторы!$E$3:N3,"гемобуфер бета М")+$AN$4+$AN$5+$AN$6-1)*$F$38,0),"# ##0,0"),0)</f>
        <v>0</v>
      </c>
      <c r="AN7" s="1155">
        <f t="shared" si="1"/>
        <v>0</v>
      </c>
      <c r="AO7" s="1186"/>
      <c r="AP7" s="1177"/>
      <c r="AQ7" s="1177"/>
      <c r="AR7" s="1177"/>
      <c r="AS7" s="1177"/>
      <c r="AT7" s="1177"/>
      <c r="AU7" s="1177"/>
      <c r="AV7" s="1177"/>
      <c r="AW7" s="1177"/>
      <c r="AX7" s="1177"/>
      <c r="AY7" s="1177"/>
      <c r="AZ7" s="1155"/>
    </row>
    <row r="8" spans="1:52" ht="33" customHeight="1" x14ac:dyDescent="0.25">
      <c r="A8" s="1107" t="s">
        <v>324</v>
      </c>
      <c r="B8" s="1108" t="s">
        <v>89</v>
      </c>
      <c r="C8" s="1108" t="s">
        <v>90</v>
      </c>
      <c r="D8" s="1109" t="s">
        <v>761</v>
      </c>
      <c r="E8" s="1108" t="s">
        <v>762</v>
      </c>
      <c r="F8" s="1109" t="s">
        <v>763</v>
      </c>
      <c r="G8" s="1108" t="s">
        <v>764</v>
      </c>
      <c r="H8" s="1109" t="s">
        <v>765</v>
      </c>
      <c r="I8" s="1108" t="s">
        <v>766</v>
      </c>
      <c r="J8" s="1109" t="s">
        <v>767</v>
      </c>
      <c r="K8" s="1108" t="s">
        <v>768</v>
      </c>
      <c r="L8" s="1108" t="s">
        <v>769</v>
      </c>
      <c r="M8" s="1108" t="s">
        <v>770</v>
      </c>
      <c r="N8" s="1110" t="s">
        <v>771</v>
      </c>
      <c r="O8" s="43"/>
      <c r="P8" s="1175"/>
      <c r="Q8" s="1169"/>
      <c r="R8" s="1176">
        <f>IF(Стимуляторы!E8="гемобуфер альфа",0.5^(COUNTIF(Стимуляторы!E8,"гемобуфер альфа")+AB7-1)*$D$24,0)</f>
        <v>0</v>
      </c>
      <c r="S8" s="1176">
        <f>IF(Стимуляторы!F7="гемобуфер бета",0.5^(COUNTIF(Стимуляторы!E13:F13,"Здоровье")-1)*$D$24,0)</f>
        <v>0</v>
      </c>
      <c r="T8" s="1176">
        <f>IF(Стимуляторы!G8="гемобуфер альфа",0.5^(COUNTIF(Стимуляторы!E8:G9,"гемобуфер альфа")-1)*$D$17,0)</f>
        <v>0</v>
      </c>
      <c r="U8" s="1176">
        <f>IF(Стимуляторы!H8="гемобуфер альфа",0.5^(COUNTIF(Стимуляторы!E8:H9,"гемобуфер альфа")-1)*$D$17,0)</f>
        <v>0</v>
      </c>
      <c r="V8" s="1176">
        <f>IF(Стимуляторы!I8="гемобуфер альфа",0.5^(COUNTIF(Стимуляторы!E8:I9,"гемобуфер альфа")-1)*$D$17,0)</f>
        <v>0</v>
      </c>
      <c r="W8" s="1176">
        <f>IF(Стимуляторы!J8="гемобуфер альфа",0.5^(COUNTIF(Стимуляторы!E8:J9,"гемобуфер альфа")-1)*$D$17,0)</f>
        <v>0</v>
      </c>
      <c r="X8" s="1176">
        <f>IF(Стимуляторы!K8="гемобуфер альфа",0.5^(COUNTIF(Стимуляторы!E8:K9,"гемобуфер альфа")-1)*$D$17,0)</f>
        <v>0</v>
      </c>
      <c r="Y8" s="1176">
        <f>IF(Стимуляторы!L8="гемобуфер альфа",0.5^(COUNTIF(Стимуляторы!E8:L9,"гемобуфер альфа")-1)*$D$17,0)</f>
        <v>0</v>
      </c>
      <c r="Z8" s="1176">
        <f>IF(Стимуляторы!M8="гемобуфер альфа",0.5^(COUNTIF(Стимуляторы!E8:M9,"гемобуфер альфа")-1)*$D$17,0)</f>
        <v>0</v>
      </c>
      <c r="AA8" s="1176">
        <f>IF(Стимуляторы!N8="гемобуфер альфа",0.5^(COUNTIF(Стимуляторы!E8:N9,"гемобуфер альфа")-1)*$D$17,0)</f>
        <v>0</v>
      </c>
      <c r="AB8" s="1189">
        <f t="shared" ref="AB8" si="2">COUNTIF(R8:AA8,"&gt;0")</f>
        <v>0</v>
      </c>
      <c r="AC8" s="1181"/>
      <c r="AD8" s="1180"/>
      <c r="AE8" s="1180"/>
      <c r="AF8" s="1180"/>
      <c r="AG8" s="1180"/>
      <c r="AH8" s="1180"/>
      <c r="AI8" s="1180"/>
      <c r="AJ8" s="1180"/>
      <c r="AK8" s="1180"/>
      <c r="AL8" s="1180"/>
      <c r="AM8" s="1180"/>
      <c r="AN8" s="1190"/>
      <c r="AO8" s="1195"/>
      <c r="AP8" s="1180"/>
      <c r="AQ8" s="1180"/>
      <c r="AR8" s="1180"/>
      <c r="AS8" s="1180"/>
      <c r="AT8" s="1180"/>
      <c r="AU8" s="1180"/>
      <c r="AV8" s="1180"/>
      <c r="AW8" s="1180"/>
      <c r="AX8" s="1180"/>
      <c r="AY8" s="1180"/>
      <c r="AZ8" s="1198"/>
    </row>
    <row r="9" spans="1:52" ht="33" customHeight="1" x14ac:dyDescent="0.25">
      <c r="A9" s="1088" t="s">
        <v>772</v>
      </c>
      <c r="B9" s="1089"/>
      <c r="C9" s="1090"/>
      <c r="D9" s="1091"/>
      <c r="E9" s="1090"/>
      <c r="F9" s="1091"/>
      <c r="G9" s="1090"/>
      <c r="H9" s="1091"/>
      <c r="I9" s="1090"/>
      <c r="J9" s="1091"/>
      <c r="K9" s="1090"/>
      <c r="L9" s="1092"/>
      <c r="M9" s="1090"/>
      <c r="N9" s="1093"/>
      <c r="P9" s="1183" t="s">
        <v>478</v>
      </c>
      <c r="Q9" s="1178" t="s">
        <v>31</v>
      </c>
      <c r="R9" s="1172">
        <f>IF(Стимуляторы!E3="Моториум альфа",TEXT(IF(Стимуляторы!E3="Моториум альфа",0.5^(COUNTIF(Стимуляторы!$E$3:E3,"Моториум альфа")-1)*$D$18,0),"# ##0,0%"),0)</f>
        <v>0</v>
      </c>
      <c r="S9" s="1172">
        <f>IF(Стимуляторы!F3="Моториум альфа",TEXT(IF(Стимуляторы!F3="Моториум альфа",0.5^(COUNTIF(Стимуляторы!$E$3:F3,"Моториум альфа")-1)*$D$18,0),"# ##0,0%"),0)</f>
        <v>0</v>
      </c>
      <c r="T9" s="1172">
        <f>IF(Стимуляторы!G3="Моториум альфа",TEXT(IF(Стимуляторы!G3="Моториум альфа",0.5^(COUNTIF(Стимуляторы!$E$3:G3,"Моториум альфа")-1)*$D$18,0),"# ##0,0%"),0)</f>
        <v>0</v>
      </c>
      <c r="U9" s="1172">
        <f>IF(Стимуляторы!H3="Моториум альфа",TEXT(IF(Стимуляторы!H3="Моториум альфа",0.5^(COUNTIF(Стимуляторы!$E$3:H3,"Моториум альфа")-1)*$D$18,0),"# ##0,0%"),0)</f>
        <v>0</v>
      </c>
      <c r="V9" s="1172">
        <f>IF(Стимуляторы!I3="Моториум альфа",TEXT(IF(Стимуляторы!I3="Моториум альфа",0.5^(COUNTIF(Стимуляторы!$E$3:I3,"Моториум альфа")-1)*$D$18,0),"# ##0,0%"),0)</f>
        <v>0</v>
      </c>
      <c r="W9" s="1172">
        <f>IF(Стимуляторы!J3="Моториум альфа",TEXT(IF(Стимуляторы!J3="Моториум альфа",0.5^(COUNTIF(Стимуляторы!$E$3:J3,"Моториум альфа")-1)*$D$18,0),"# ##0,0%"),0)</f>
        <v>0</v>
      </c>
      <c r="X9" s="1172">
        <f>IF(Стимуляторы!K3="Моториум альфа",TEXT(IF(Стимуляторы!K3="Моториум альфа",0.5^(COUNTIF(Стимуляторы!$E$3:K3,"Моториум альфа")-1)*$D$18,0),"# ##0,0%"),0)</f>
        <v>0</v>
      </c>
      <c r="Y9" s="1172">
        <f>IF(Стимуляторы!L3="Моториум альфа",TEXT(IF(Стимуляторы!L3="Моториум альфа",0.5^(COUNTIF(Стимуляторы!$E$3:L3,"Моториум альфа")-1)*$D$18,0),"# ##0,0%"),0)</f>
        <v>0</v>
      </c>
      <c r="Z9" s="1172">
        <f>IF(Стимуляторы!M3="Моториум альфа",TEXT(IF(Стимуляторы!M3="Моториум альфа",0.5^(COUNTIF(Стимуляторы!$E$3:M3,"Моториум альфа")-1)*$D$18,0),"# ##0,0%"),0)</f>
        <v>0</v>
      </c>
      <c r="AA9" s="1172">
        <f>IF(Стимуляторы!N3="Моториум альфа",TEXT(IF(Стимуляторы!N3="Моториум альфа",0.5^(COUNTIF(Стимуляторы!$E$3:N3,"Моториум альфа")-1)*$D$18,0),"# ##0,0%"),0)</f>
        <v>0</v>
      </c>
      <c r="AB9" s="1192">
        <f>COUNTIF(R9:AA9,"*")</f>
        <v>0</v>
      </c>
      <c r="AC9" s="1171"/>
      <c r="AD9" s="1172"/>
      <c r="AE9" s="1172"/>
      <c r="AF9" s="1172"/>
      <c r="AG9" s="1172"/>
      <c r="AH9" s="1172"/>
      <c r="AI9" s="1172"/>
      <c r="AJ9" s="1172"/>
      <c r="AK9" s="1172"/>
      <c r="AL9" s="1172"/>
      <c r="AM9" s="1172"/>
      <c r="AN9" s="1154">
        <f t="shared" ref="AN9:AN12" si="3">COUNTIF(AD9:AM9,"&gt;0")</f>
        <v>0</v>
      </c>
      <c r="AO9" s="1196"/>
      <c r="AP9" s="1172"/>
      <c r="AQ9" s="1172"/>
      <c r="AR9" s="1172"/>
      <c r="AS9" s="1172"/>
      <c r="AT9" s="1172"/>
      <c r="AU9" s="1172"/>
      <c r="AV9" s="1172"/>
      <c r="AW9" s="1172"/>
      <c r="AX9" s="1172"/>
      <c r="AY9" s="1172"/>
      <c r="AZ9" s="1199"/>
    </row>
    <row r="10" spans="1:52" ht="33" customHeight="1" x14ac:dyDescent="0.25">
      <c r="A10" s="1094"/>
      <c r="B10" s="1090"/>
      <c r="C10" s="1090"/>
      <c r="D10" s="1091"/>
      <c r="E10" s="1090"/>
      <c r="F10" s="1091"/>
      <c r="G10" s="1090"/>
      <c r="H10" s="1091"/>
      <c r="I10" s="1095"/>
      <c r="J10" s="1091"/>
      <c r="K10" s="1095"/>
      <c r="L10" s="1092"/>
      <c r="M10" s="1090"/>
      <c r="N10" s="1093"/>
      <c r="P10" s="1183" t="s">
        <v>480</v>
      </c>
      <c r="Q10" s="1178" t="s">
        <v>31</v>
      </c>
      <c r="R10" s="1172">
        <f>IF(Стимуляторы!E3="Моториум бета",TEXT(IF(Стимуляторы!E3="Моториум бета",0.5^(COUNTIF(Стимуляторы!$E$3:E3,"Моториум бета")+$AB$9-1)*$D$25,0),"# ##0,0%"),0)</f>
        <v>0</v>
      </c>
      <c r="S10" s="1172">
        <f>IF(Стимуляторы!F3="Моториум бета",TEXT(IF(Стимуляторы!F3="Моториум бета",0.5^(COUNTIF(Стимуляторы!$E$3:F3,"Моториум бета")+$AB$9-1)*$D$25,0),"# ##0,0%"),0)</f>
        <v>0</v>
      </c>
      <c r="T10" s="1172">
        <f>IF(Стимуляторы!G3="Моториум бета",TEXT(IF(Стимуляторы!G3="Моториум бета",0.5^(COUNTIF(Стимуляторы!$E$3:G3,"Моториум бета")+$AB$9-1)*$D$25,0),"# ##0,0%"),0)</f>
        <v>0</v>
      </c>
      <c r="U10" s="1172">
        <f>IF(Стимуляторы!H3="Моториум бета",TEXT(IF(Стимуляторы!H3="Моториум бета",0.5^(COUNTIF(Стимуляторы!$E$3:H3,"Моториум бета")+$AB$9-1)*$D$25,0),"# ##0,0%"),0)</f>
        <v>0</v>
      </c>
      <c r="V10" s="1172">
        <f>IF(Стимуляторы!I3="Моториум бета",TEXT(IF(Стимуляторы!I3="Моториум бета",0.5^(COUNTIF(Стимуляторы!$E$3:I3,"Моториум бета")+$AB$9-1)*$D$25,0),"# ##0,0%"),0)</f>
        <v>0</v>
      </c>
      <c r="W10" s="1172">
        <f>IF(Стимуляторы!J3="Моториум бета",TEXT(IF(Стимуляторы!J3="Моториум бета",0.5^(COUNTIF(Стимуляторы!$E$3:J3,"Моториум бета")+$AB$9-1)*$D$25,0),"# ##0,0%"),0)</f>
        <v>0</v>
      </c>
      <c r="X10" s="1172">
        <f>IF(Стимуляторы!K3="Моториум бета",TEXT(IF(Стимуляторы!K3="Моториум бета",0.5^(COUNTIF(Стимуляторы!$E$3:K3,"Моториум бета")+$AB$9-1)*$D$25,0),"# ##0,0%"),0)</f>
        <v>0</v>
      </c>
      <c r="Y10" s="1172">
        <f>IF(Стимуляторы!L3="Моториум бета",TEXT(IF(Стимуляторы!L3="Моториум бета",0.5^(COUNTIF(Стимуляторы!$E$3:L3,"Моториум бета")+$AB$9-1)*$D$25,0),"# ##0,0%"),0)</f>
        <v>0</v>
      </c>
      <c r="Z10" s="1172">
        <f>IF(Стимуляторы!M3="Моториум бета",TEXT(IF(Стимуляторы!M3="Моториум бета",0.5^(COUNTIF(Стимуляторы!$E$3:M3,"Моториум бета")+$AB$9-1)*$D$25,0),"# ##0,0%"),0)</f>
        <v>0</v>
      </c>
      <c r="AA10" s="1172">
        <f>IF(Стимуляторы!N3="Моториум бета",TEXT(IF(Стимуляторы!N3="Моториум бета",0.5^(COUNTIF(Стимуляторы!$E$3:N3,"Моториум бета")+$AB$9-1)*$D$25,0),"# ##0,0%"),0)</f>
        <v>0</v>
      </c>
      <c r="AB10" s="1192">
        <f t="shared" ref="AB10:AB12" si="4">COUNTIF(R10:AA10,"*")</f>
        <v>0</v>
      </c>
      <c r="AC10" s="1171"/>
      <c r="AD10" s="1172"/>
      <c r="AE10" s="1172"/>
      <c r="AF10" s="1172"/>
      <c r="AG10" s="1172"/>
      <c r="AH10" s="1172"/>
      <c r="AI10" s="1172"/>
      <c r="AJ10" s="1172"/>
      <c r="AK10" s="1172"/>
      <c r="AL10" s="1172"/>
      <c r="AM10" s="1172"/>
      <c r="AN10" s="1154">
        <f t="shared" si="3"/>
        <v>0</v>
      </c>
      <c r="AO10" s="1196"/>
      <c r="AP10" s="1172"/>
      <c r="AQ10" s="1172"/>
      <c r="AR10" s="1172"/>
      <c r="AS10" s="1172"/>
      <c r="AT10" s="1172"/>
      <c r="AU10" s="1172"/>
      <c r="AV10" s="1172"/>
      <c r="AW10" s="1172"/>
      <c r="AX10" s="1172"/>
      <c r="AY10" s="1172"/>
      <c r="AZ10" s="1199"/>
    </row>
    <row r="11" spans="1:52" ht="33" customHeight="1" x14ac:dyDescent="0.25">
      <c r="A11" s="1094" t="s">
        <v>758</v>
      </c>
      <c r="B11" s="1089"/>
      <c r="C11" s="1096" t="s">
        <v>773</v>
      </c>
      <c r="D11" s="1092">
        <v>20</v>
      </c>
      <c r="E11" s="1090" t="s">
        <v>278</v>
      </c>
      <c r="F11" s="1091">
        <v>0.2</v>
      </c>
      <c r="G11" s="1096" t="s">
        <v>773</v>
      </c>
      <c r="H11" s="1091">
        <v>0.2</v>
      </c>
      <c r="I11" s="1090"/>
      <c r="J11" s="1092"/>
      <c r="K11" s="1090"/>
      <c r="L11" s="1092"/>
      <c r="M11" s="1090" t="s">
        <v>333</v>
      </c>
      <c r="N11" s="1093">
        <v>4</v>
      </c>
      <c r="P11" s="1183" t="s">
        <v>479</v>
      </c>
      <c r="Q11" s="1178" t="s">
        <v>31</v>
      </c>
      <c r="R11" s="1172">
        <f>IF(Стимуляторы!E3="Моториум альфа М",TEXT(IF(Стимуляторы!E3="Моториум альфа М",0.5^(COUNTIF(Стимуляторы!$E$3:E3,"Моториум альфа М")+$AB$9+$AB$10-1)*$D$32,0),"# ##0,0%"),0)</f>
        <v>0</v>
      </c>
      <c r="S11" s="1172">
        <f>IF(Стимуляторы!F3="Моториум альфа М",TEXT(IF(Стимуляторы!F3="Моториум альфа М",0.5^(COUNTIF(Стимуляторы!$E$3:F3,"Моториум альфа М")+$AB$9+$AB$10-1)*$D$32,0),"# ##0,0%"),0)</f>
        <v>0</v>
      </c>
      <c r="T11" s="1172">
        <f>IF(Стимуляторы!G3="Моториум альфа М",TEXT(IF(Стимуляторы!G3="Моториум альфа М",0.5^(COUNTIF(Стимуляторы!$E$3:G3,"Моториум альфа М")+$AB$9+$AB$10-1)*$D$32,0),"# ##0,0%"),0)</f>
        <v>0</v>
      </c>
      <c r="U11" s="1172">
        <f>IF(Стимуляторы!H3="Моториум альфа М",TEXT(IF(Стимуляторы!H3="Моториум альфа М",0.5^(COUNTIF(Стимуляторы!$E$3:H3,"Моториум альфа М")+$AB$9+$AB$10-1)*$D$32,0),"# ##0,0%"),0)</f>
        <v>0</v>
      </c>
      <c r="V11" s="1172">
        <f>IF(Стимуляторы!I3="Моториум альфа М",TEXT(IF(Стимуляторы!I3="Моториум альфа М",0.5^(COUNTIF(Стимуляторы!$E$3:I3,"Моториум альфа М")+$AB$9+$AB$10-1)*$D$32,0),"# ##0,0%"),0)</f>
        <v>0</v>
      </c>
      <c r="W11" s="1172">
        <f>IF(Стимуляторы!J3="Моториум альфа М",TEXT(IF(Стимуляторы!J3="Моториум альфа М",0.5^(COUNTIF(Стимуляторы!$E$3:J3,"Моториум альфа М")+$AB$9+$AB$10-1)*$D$32,0),"# ##0,0%"),0)</f>
        <v>0</v>
      </c>
      <c r="X11" s="1172">
        <f>IF(Стимуляторы!K3="Моториум альфа М",TEXT(IF(Стимуляторы!K3="Моториум альфа М",0.5^(COUNTIF(Стимуляторы!$E$3:K3,"Моториум альфа М")+$AB$9+$AB$10-1)*$D$32,0),"# ##0,0%"),0)</f>
        <v>0</v>
      </c>
      <c r="Y11" s="1172">
        <f>IF(Стимуляторы!L3="Моториум альфа М",TEXT(IF(Стимуляторы!L3="Моториум альфа М",0.5^(COUNTIF(Стимуляторы!$E$3:L3,"Моториум альфа М")+$AB$9+$AB$10-1)*$D$32,0),"# ##0,0%"),0)</f>
        <v>0</v>
      </c>
      <c r="Z11" s="1172">
        <f>IF(Стимуляторы!M3="Моториум альфа М",TEXT(IF(Стимуляторы!M3="Моториум альфа М",0.5^(COUNTIF(Стимуляторы!$E$3:M3,"Моториум альфа М")+$AB$9+$AB$10-1)*$D$32,0),"# ##0,0%"),0)</f>
        <v>0</v>
      </c>
      <c r="AA11" s="1172">
        <f>IF(Стимуляторы!N3="Моториум альфа М",TEXT(IF(Стимуляторы!N3="Моториум альфа М",0.5^(COUNTIF(Стимуляторы!$E$3:N3,"Моториум альфа М")+$AB$9+$AB$10-1)*$D$32,0),"# ##0,0%"),0)</f>
        <v>0</v>
      </c>
      <c r="AB11" s="1192">
        <f t="shared" si="4"/>
        <v>0</v>
      </c>
      <c r="AC11" s="1171"/>
      <c r="AD11" s="1172"/>
      <c r="AE11" s="1172"/>
      <c r="AF11" s="1172"/>
      <c r="AG11" s="1172"/>
      <c r="AH11" s="1172"/>
      <c r="AI11" s="1172"/>
      <c r="AJ11" s="1172"/>
      <c r="AK11" s="1172"/>
      <c r="AL11" s="1172"/>
      <c r="AM11" s="1172"/>
      <c r="AN11" s="1154">
        <f t="shared" si="3"/>
        <v>0</v>
      </c>
      <c r="AO11" s="1196"/>
      <c r="AP11" s="1172"/>
      <c r="AQ11" s="1172"/>
      <c r="AR11" s="1172"/>
      <c r="AS11" s="1172"/>
      <c r="AT11" s="1172"/>
      <c r="AU11" s="1172"/>
      <c r="AV11" s="1172"/>
      <c r="AW11" s="1172"/>
      <c r="AX11" s="1172"/>
      <c r="AY11" s="1172"/>
      <c r="AZ11" s="1199"/>
    </row>
    <row r="12" spans="1:52" ht="33" customHeight="1" thickBot="1" x14ac:dyDescent="0.3">
      <c r="A12" s="1097" t="s">
        <v>759</v>
      </c>
      <c r="B12" s="1098"/>
      <c r="C12" s="1099" t="s">
        <v>760</v>
      </c>
      <c r="D12" s="1100">
        <v>0.18</v>
      </c>
      <c r="E12" s="1101" t="s">
        <v>777</v>
      </c>
      <c r="F12" s="1102">
        <v>12</v>
      </c>
      <c r="G12" s="1103" t="s">
        <v>773</v>
      </c>
      <c r="H12" s="1102"/>
      <c r="I12" s="1099"/>
      <c r="J12" s="1102"/>
      <c r="K12" s="1099"/>
      <c r="L12" s="1102"/>
      <c r="M12" s="1099" t="s">
        <v>333</v>
      </c>
      <c r="N12" s="1104">
        <v>5</v>
      </c>
      <c r="P12" s="1184" t="s">
        <v>481</v>
      </c>
      <c r="Q12" s="1185" t="s">
        <v>31</v>
      </c>
      <c r="R12" s="1177">
        <f>IF(Стимуляторы!E3="Моториум бета М",TEXT(IF(Стимуляторы!E3="Моториум бета М",0.5^(COUNTIF(Стимуляторы!$E$3:E3,"Моториум бета М")+$AB$9+$AB$10+$AB$11-1)*$D$39,0),"# ##0,0%"),0)</f>
        <v>0</v>
      </c>
      <c r="S12" s="1177">
        <f>IF(Стимуляторы!F3="Моториум бета М",TEXT(IF(Стимуляторы!F3="Моториум бета М",0.5^(COUNTIF(Стимуляторы!$E$3:F3,"Моториум бета М")+$AB$9+$AB$10+$AB$11-1)*$D$39,0),"# ##0,0%"),0)</f>
        <v>0</v>
      </c>
      <c r="T12" s="1177">
        <f>IF(Стимуляторы!G3="Моториум бета М",TEXT(IF(Стимуляторы!G3="Моториум бета М",0.5^(COUNTIF(Стимуляторы!$E$3:G3,"Моториум бета М")+$AB$9+$AB$10+$AB$11-1)*$D$39,0),"# ##0,0%"),0)</f>
        <v>0</v>
      </c>
      <c r="U12" s="1177">
        <f>IF(Стимуляторы!H3="Моториум бета М",TEXT(IF(Стимуляторы!H3="Моториум бета М",0.5^(COUNTIF(Стимуляторы!$E$3:H3,"Моториум бета М")+$AB$9+$AB$10+$AB$11-1)*$D$39,0),"# ##0,0%"),0)</f>
        <v>0</v>
      </c>
      <c r="V12" s="1177">
        <f>IF(Стимуляторы!I3="Моториум бета М",TEXT(IF(Стимуляторы!I3="Моториум бета М",0.5^(COUNTIF(Стимуляторы!$E$3:I3,"Моториум бета М")+$AB$9+$AB$10+$AB$11-1)*$D$39,0),"# ##0,0%"),0)</f>
        <v>0</v>
      </c>
      <c r="W12" s="1177">
        <f>IF(Стимуляторы!J3="Моториум бета М",TEXT(IF(Стимуляторы!J3="Моториум бета М",0.5^(COUNTIF(Стимуляторы!$E$3:J3,"Моториум бета М")+$AB$9+$AB$10+$AB$11-1)*$D$39,0),"# ##0,0%"),0)</f>
        <v>0</v>
      </c>
      <c r="X12" s="1177">
        <f>IF(Стимуляторы!K3="Моториум бета М",TEXT(IF(Стимуляторы!K3="Моториум бета М",0.5^(COUNTIF(Стимуляторы!$E$3:K3,"Моториум бета М")+$AB$9+$AB$10+$AB$11-1)*$D$39,0),"# ##0,0%"),0)</f>
        <v>0</v>
      </c>
      <c r="Y12" s="1177">
        <f>IF(Стимуляторы!L3="Моториум бета М",TEXT(IF(Стимуляторы!L3="Моториум бета М",0.5^(COUNTIF(Стимуляторы!$E$3:L3,"Моториум бета М")+$AB$9+$AB$10+$AB$11-1)*$D$39,0),"# ##0,0%"),0)</f>
        <v>0</v>
      </c>
      <c r="Z12" s="1177">
        <f>IF(Стимуляторы!M3="Моториум бета М",TEXT(IF(Стимуляторы!M3="Моториум бета М",0.5^(COUNTIF(Стимуляторы!$E$3:M3,"Моториум бета М")+$AB$9+$AB$10+$AB$11-1)*$D$39,0),"# ##0,0%"),0)</f>
        <v>0</v>
      </c>
      <c r="AA12" s="1177">
        <f>IF(Стимуляторы!N3="Моториум бета М",TEXT(IF(Стимуляторы!N3="Моториум бета М",0.5^(COUNTIF(Стимуляторы!$E$3:N3,"Моториум бета М")+$AB$9+$AB$10+$AB$11-1)*$D$39,0),"# ##0,0%"),0)</f>
        <v>0</v>
      </c>
      <c r="AB12" s="1155">
        <f t="shared" si="4"/>
        <v>0</v>
      </c>
      <c r="AC12" s="1173"/>
      <c r="AD12" s="1174"/>
      <c r="AE12" s="1174"/>
      <c r="AF12" s="1174"/>
      <c r="AG12" s="1174"/>
      <c r="AH12" s="1174"/>
      <c r="AI12" s="1174"/>
      <c r="AJ12" s="1174"/>
      <c r="AK12" s="1174"/>
      <c r="AL12" s="1174"/>
      <c r="AM12" s="1174"/>
      <c r="AN12" s="1192">
        <f t="shared" si="3"/>
        <v>0</v>
      </c>
      <c r="AO12" s="1197"/>
      <c r="AP12" s="1174"/>
      <c r="AQ12" s="1174"/>
      <c r="AR12" s="1174"/>
      <c r="AS12" s="1174"/>
      <c r="AT12" s="1174"/>
      <c r="AU12" s="1174"/>
      <c r="AV12" s="1174"/>
      <c r="AW12" s="1174"/>
      <c r="AX12" s="1174"/>
      <c r="AY12" s="1174"/>
      <c r="AZ12" s="1200"/>
    </row>
    <row r="13" spans="1:52" ht="33" customHeight="1" x14ac:dyDescent="0.25">
      <c r="A13" s="797"/>
      <c r="D13" s="1085"/>
      <c r="E13" s="797"/>
      <c r="G13" s="1087"/>
      <c r="P13" s="1160"/>
      <c r="Q13" s="1167"/>
      <c r="R13" s="1180"/>
      <c r="S13" s="1180"/>
      <c r="T13" s="1180"/>
      <c r="U13" s="1180"/>
      <c r="V13" s="1180"/>
      <c r="W13" s="1180"/>
      <c r="X13" s="1180"/>
      <c r="Y13" s="1180"/>
      <c r="Z13" s="1180"/>
      <c r="AA13" s="1180"/>
      <c r="AB13" s="1190"/>
      <c r="AC13" s="1182"/>
      <c r="AD13" s="1176"/>
      <c r="AE13" s="1176"/>
      <c r="AF13" s="1176"/>
      <c r="AG13" s="1176"/>
      <c r="AH13" s="1176"/>
      <c r="AI13" s="1176"/>
      <c r="AJ13" s="1176"/>
      <c r="AK13" s="1176"/>
      <c r="AL13" s="1176"/>
      <c r="AM13" s="1176"/>
      <c r="AN13" s="1189"/>
      <c r="AO13" s="1182"/>
      <c r="AP13" s="1176"/>
      <c r="AQ13" s="1176"/>
      <c r="AR13" s="1176"/>
      <c r="AS13" s="1176"/>
      <c r="AT13" s="1176"/>
      <c r="AU13" s="1176"/>
      <c r="AV13" s="1176"/>
      <c r="AW13" s="1176"/>
      <c r="AX13" s="1176"/>
      <c r="AY13" s="1176"/>
      <c r="AZ13" s="1189"/>
    </row>
    <row r="14" spans="1:52" ht="33" customHeight="1" x14ac:dyDescent="0.25">
      <c r="A14" s="1107" t="s">
        <v>324</v>
      </c>
      <c r="B14" s="1108" t="s">
        <v>89</v>
      </c>
      <c r="C14" s="1108" t="s">
        <v>90</v>
      </c>
      <c r="D14" s="1149" t="s">
        <v>782</v>
      </c>
      <c r="E14" s="1108" t="s">
        <v>762</v>
      </c>
      <c r="F14" s="1108" t="s">
        <v>763</v>
      </c>
      <c r="G14" s="1114" t="s">
        <v>764</v>
      </c>
      <c r="H14" s="1108" t="s">
        <v>765</v>
      </c>
      <c r="I14" s="1108" t="s">
        <v>766</v>
      </c>
      <c r="J14" s="1108" t="s">
        <v>767</v>
      </c>
      <c r="K14" s="1108" t="s">
        <v>768</v>
      </c>
      <c r="L14" s="1108" t="s">
        <v>769</v>
      </c>
      <c r="M14" s="1108" t="s">
        <v>770</v>
      </c>
      <c r="N14" s="1110" t="s">
        <v>771</v>
      </c>
      <c r="O14" s="1150"/>
      <c r="P14" s="1162" t="s">
        <v>373</v>
      </c>
      <c r="Q14" s="1178" t="s">
        <v>69</v>
      </c>
      <c r="R14" s="1172">
        <f>IF(Стимуляторы!E3="Перцептил альфа",TEXT(IF(Стимуляторы!E3="Перцептил альфа",0.5^(COUNTIF(Стимуляторы!$E$3:E3,"Перцептил альфа")-1)*$D$19,0),"# ##0,0%"),0)</f>
        <v>0</v>
      </c>
      <c r="S14" s="1172">
        <f>IF(Стимуляторы!F3="Перцептил альфа",TEXT(IF(Стимуляторы!F3="Перцептил альфа",0.5^(COUNTIF(Стимуляторы!$E$3:F3,"Перцептил альфа")-1)*$D$19,0),"# ##0,0%"),0)</f>
        <v>0</v>
      </c>
      <c r="T14" s="1172">
        <f>IF(Стимуляторы!G3="Перцептил альфа",TEXT(IF(Стимуляторы!G3="Перцептил альфа",0.5^(COUNTIF(Стимуляторы!$E$3:G3,"Перцептил альфа")-1)*$D$19,0),"# ##0,0%"),0)</f>
        <v>0</v>
      </c>
      <c r="U14" s="1172">
        <f>IF(Стимуляторы!H3="Перцептил альфа",TEXT(IF(Стимуляторы!H3="Перцептил альфа",0.5^(COUNTIF(Стимуляторы!$E$3:H3,"Перцептил альфа")-1)*$D$19,0),"# ##0,0%"),0)</f>
        <v>0</v>
      </c>
      <c r="V14" s="1172">
        <f>IF(Стимуляторы!I3="Перцептил альфа",TEXT(IF(Стимуляторы!I3="Перцептил альфа",0.5^(COUNTIF(Стимуляторы!$E$3:I3,"Перцептил альфа")-1)*$D$19,0),"# ##0,0%"),0)</f>
        <v>0</v>
      </c>
      <c r="W14" s="1172">
        <f>IF(Стимуляторы!J3="Перцептил альфа",TEXT(IF(Стимуляторы!J3="Перцептил альфа",0.5^(COUNTIF(Стимуляторы!$E$3:J3,"Перцептил альфа")-1)*$D$19,0),"# ##0,0%"),0)</f>
        <v>0</v>
      </c>
      <c r="X14" s="1172">
        <f>IF(Стимуляторы!K3="Перцептил альфа",TEXT(IF(Стимуляторы!K3="Перцептил альфа",0.5^(COUNTIF(Стимуляторы!$E$3:K3,"Перцептил альфа")-1)*$D$19,0),"# ##0,0%"),0)</f>
        <v>0</v>
      </c>
      <c r="Y14" s="1172">
        <f>IF(Стимуляторы!L3="Перцептил альфа",TEXT(IF(Стимуляторы!L3="Перцептил альфа",0.5^(COUNTIF(Стимуляторы!$E$3:L3,"Перцептил альфа")-1)*$D$19,0),"# ##0,0%"),0)</f>
        <v>0</v>
      </c>
      <c r="Z14" s="1172">
        <f>IF(Стимуляторы!M3="Перцептил альфа",TEXT(IF(Стимуляторы!M3="Перцептил альфа",0.5^(COUNTIF(Стимуляторы!$E$3:M3,"Перцептил альфа")-1)*$D$19,0),"# ##0,0%"),0)</f>
        <v>0</v>
      </c>
      <c r="AA14" s="1172">
        <f>IF(Стимуляторы!N3="Перцептил альфа",TEXT(IF(Стимуляторы!N3="Перцептил альфа",0.5^(COUNTIF(Стимуляторы!$E$3:N3,"Перцептил альфа")-1)*$D$19,0),"# ##0,0%"),0)</f>
        <v>0</v>
      </c>
      <c r="AB14" s="1191">
        <f>COUNTIF(R14:AA14,"*")</f>
        <v>0</v>
      </c>
      <c r="AC14" s="1171" t="s">
        <v>518</v>
      </c>
      <c r="AD14" s="1172">
        <f>IF(Стимуляторы!E3="Перцептил альфа",TEXT(IF(Стимуляторы!E3="Перцептил альфа",0.5^(COUNTIF(Стимуляторы!$E$3:E3,"Перцептил альфа")-1)*$F$19,0),"# ##0,0%"),0)</f>
        <v>0</v>
      </c>
      <c r="AE14" s="1172">
        <f>IF(Стимуляторы!F3="Перцептил альфа",TEXT(IF(Стимуляторы!F3="Перцептил альфа",0.5^(COUNTIF(Стимуляторы!$E$3:F3,"Перцептил альфа")-1)*$F$19,0),"# ##0,0%"),0)</f>
        <v>0</v>
      </c>
      <c r="AF14" s="1172">
        <f>IF(Стимуляторы!G3="Перцептил альфа",TEXT(IF(Стимуляторы!G3="Перцептил альфа",0.5^(COUNTIF(Стимуляторы!$E$3:G3,"Перцептил альфа")-1)*$F$19,0),"# ##0,0%"),0)</f>
        <v>0</v>
      </c>
      <c r="AG14" s="1172">
        <f>IF(Стимуляторы!H3="Перцептил альфа",TEXT(IF(Стимуляторы!H3="Перцептил альфа",0.5^(COUNTIF(Стимуляторы!$E$3:H3,"Перцептил альфа")-1)*$F$19,0),"# ##0,0%"),0)</f>
        <v>0</v>
      </c>
      <c r="AH14" s="1172">
        <f>IF(Стимуляторы!I3="Перцептил альфа",TEXT(IF(Стимуляторы!I3="Перцептил альфа",0.5^(COUNTIF(Стимуляторы!$E$3:I3,"Перцептил альфа")-1)*$F$19,0),"# ##0,0%"),0)</f>
        <v>0</v>
      </c>
      <c r="AI14" s="1172">
        <f>IF(Стимуляторы!J3="Перцептил альфа",TEXT(IF(Стимуляторы!J3="Перцептил альфа",0.5^(COUNTIF(Стимуляторы!$E$3:J3,"Перцептил альфа")-1)*$F$19,0),"# ##0,0%"),0)</f>
        <v>0</v>
      </c>
      <c r="AJ14" s="1172">
        <f>IF(Стимуляторы!K3="Перцептил альфа",TEXT(IF(Стимуляторы!K3="Перцептил альфа",0.5^(COUNTIF(Стимуляторы!$E$3:K3,"Перцептил альфа")-1)*$F$19,0),"# ##0,0%"),0)</f>
        <v>0</v>
      </c>
      <c r="AK14" s="1172">
        <f>IF(Стимуляторы!L3="Перцептил альфа",TEXT(IF(Стимуляторы!L3="Перцептил альфа",0.5^(COUNTIF(Стимуляторы!$E$3:L3,"Перцептил альфа")-1)*$F$19,0),"# ##0,0%"),0)</f>
        <v>0</v>
      </c>
      <c r="AL14" s="1172">
        <f>IF(Стимуляторы!M3="Перцептил альфа",TEXT(IF(Стимуляторы!M3="Перцептил альфа",0.5^(COUNTIF(Стимуляторы!$E$3:M3,"Перцептил альфа")-1)*$F$19,0),"# ##0,0%"),0)</f>
        <v>0</v>
      </c>
      <c r="AM14" s="1172">
        <f>IF(Стимуляторы!N3="Перцептил альфа",TEXT(IF(Стимуляторы!N3="Перцептил альфа",0.5^(COUNTIF(Стимуляторы!$E$3:N3,"Перцептил альфа")-1)*$F$19,0),"# ##0,0%"),0)</f>
        <v>0</v>
      </c>
      <c r="AN14" s="1191">
        <f>COUNTIF(AD14:AM14,"*")</f>
        <v>0</v>
      </c>
      <c r="AO14" s="1171" t="s">
        <v>776</v>
      </c>
      <c r="AP14" s="1172">
        <f>IF(Стимуляторы!E3="Перцептил альфа",TEXT(IF(Стимуляторы!E3="Перцептил альфа",0.5^(COUNTIF(Стимуляторы!$E$3:E3,"Перцептил альфа")-1)*$H$19,0),"# ##0,0%"),0)</f>
        <v>0</v>
      </c>
      <c r="AQ14" s="1172">
        <f>IF(Стимуляторы!F3="Перцептил альфа",TEXT(IF(Стимуляторы!F3="Перцептил альфа",0.5^(COUNTIF(Стимуляторы!$E$3:F3,"Перцептил альфа")-1)*$H$19,0),"# ##0,0%"),0)</f>
        <v>0</v>
      </c>
      <c r="AR14" s="1172">
        <f>IF(Стимуляторы!G3="Перцептил альфа",TEXT(IF(Стимуляторы!G3="Перцептил альфа",0.5^(COUNTIF(Стимуляторы!$E$3:G3,"Перцептил альфа")-1)*$H$19,0),"# ##0,0%"),0)</f>
        <v>0</v>
      </c>
      <c r="AS14" s="1172">
        <f>IF(Стимуляторы!H3="Перцептил альфа",TEXT(IF(Стимуляторы!H3="Перцептил альфа",0.5^(COUNTIF(Стимуляторы!$E$3:H3,"Перцептил альфа")-1)*$H$19,0),"# ##0,0%"),0)</f>
        <v>0</v>
      </c>
      <c r="AT14" s="1172">
        <f>IF(Стимуляторы!I3="Перцептил альфа",TEXT(IF(Стимуляторы!I3="Перцептил альфа",0.5^(COUNTIF(Стимуляторы!$E$3:I3,"Перцептил альфа")-1)*$H$19,0),"# ##0,0%"),0)</f>
        <v>0</v>
      </c>
      <c r="AU14" s="1172">
        <f>IF(Стимуляторы!J3="Перцептил альфа",TEXT(IF(Стимуляторы!J3="Перцептил альфа",0.5^(COUNTIF(Стимуляторы!$E$3:J3,"Перцептил альфа")-1)*$H$19,0),"# ##0,0%"),0)</f>
        <v>0</v>
      </c>
      <c r="AV14" s="1172">
        <f>IF(Стимуляторы!K3="Перцептил альфа",TEXT(IF(Стимуляторы!K3="Перцептил альфа",0.5^(COUNTIF(Стимуляторы!$E$3:K3,"Перцептил альфа")-1)*$H$19,0),"# ##0,0%"),0)</f>
        <v>0</v>
      </c>
      <c r="AW14" s="1172">
        <f>IF(Стимуляторы!L3="Перцептил альфа",TEXT(IF(Стимуляторы!L3="Перцептил альфа",0.5^(COUNTIF(Стимуляторы!$E$3:L3,"Перцептил альфа")-1)*$H$19,0),"# ##0,0%"),0)</f>
        <v>0</v>
      </c>
      <c r="AX14" s="1172">
        <f>IF(Стимуляторы!M3="Перцептил альфа",TEXT(IF(Стимуляторы!M3="Перцептил альфа",0.5^(COUNTIF(Стимуляторы!$E$3:M3,"Перцептил альфа")-1)*$H$19,0),"# ##0,0%"),0)</f>
        <v>0</v>
      </c>
      <c r="AY14" s="1172">
        <f>IF(Стимуляторы!N3="Перцептил альфа",TEXT(IF(Стимуляторы!N3="Перцептил альфа",0.5^(COUNTIF(Стимуляторы!$E$3:N3,"Перцептил альфа")-1)*$H$19,0),"# ##0,0%"),0)</f>
        <v>0</v>
      </c>
      <c r="AZ14" s="1191">
        <f>COUNTIF(AP14:AY14,"*")</f>
        <v>0</v>
      </c>
    </row>
    <row r="15" spans="1:52" ht="33" customHeight="1" x14ac:dyDescent="0.25">
      <c r="A15" s="1088" t="s">
        <v>772</v>
      </c>
      <c r="B15" s="1089"/>
      <c r="C15" s="1090"/>
      <c r="D15" s="1091"/>
      <c r="E15" s="1090"/>
      <c r="F15" s="1092"/>
      <c r="G15" s="1112"/>
      <c r="H15" s="1092"/>
      <c r="I15" s="1090"/>
      <c r="J15" s="1092"/>
      <c r="K15" s="1090"/>
      <c r="L15" s="1092"/>
      <c r="M15" s="1090"/>
      <c r="N15" s="1093"/>
      <c r="P15" s="1162" t="s">
        <v>482</v>
      </c>
      <c r="Q15" s="1178" t="s">
        <v>69</v>
      </c>
      <c r="R15" s="1172">
        <f>IF(Стимуляторы!E3="Перцептил бета",TEXT(IF(Стимуляторы!E3="Перцептил бета",0.5^(COUNTIF(Стимуляторы!$E$3:E3,"Перцептил бета")+$AB$14-1)*$D$26,0),"# ##0,0%"),0)</f>
        <v>0</v>
      </c>
      <c r="S15" s="1172">
        <f>IF(Стимуляторы!F3="Перцептил бета",TEXT(IF(Стимуляторы!F3="Перцептил бета",0.5^(COUNTIF(Стимуляторы!$E$3:F3,"Перцептил бета")+$AB$14-1)*$D$26,0),"# ##0,0%"),0)</f>
        <v>0</v>
      </c>
      <c r="T15" s="1172">
        <f>IF(Стимуляторы!G3="Перцептил бета",TEXT(IF(Стимуляторы!G3="Перцептил бета",0.5^(COUNTIF(Стимуляторы!$E$3:G3,"Перцептил бета")+$AB$14-1)*$D$26,0),"# ##0,0%"),0)</f>
        <v>0</v>
      </c>
      <c r="U15" s="1172">
        <f>IF(Стимуляторы!H3="Перцептил бета",TEXT(IF(Стимуляторы!H3="Перцептил бета",0.5^(COUNTIF(Стимуляторы!$E$3:H3,"Перцептил бета")+$AB$14-1)*$D$26,0),"# ##0,0%"),0)</f>
        <v>0</v>
      </c>
      <c r="V15" s="1172">
        <f>IF(Стимуляторы!I3="Перцептил бета",TEXT(IF(Стимуляторы!I3="Перцептил бета",0.5^(COUNTIF(Стимуляторы!$E$3:I3,"Перцептил бета")+$AB$14-1)*$D$26,0),"# ##0,0%"),0)</f>
        <v>0</v>
      </c>
      <c r="W15" s="1172">
        <f>IF(Стимуляторы!J3="Перцептил бета",TEXT(IF(Стимуляторы!J3="Перцептил бета",0.5^(COUNTIF(Стимуляторы!$E$3:J3,"Перцептил бета")+$AB$14-1)*$D$26,0),"# ##0,0%"),0)</f>
        <v>0</v>
      </c>
      <c r="X15" s="1172">
        <f>IF(Стимуляторы!K3="Перцептил бета",TEXT(IF(Стимуляторы!K3="Перцептил бета",0.5^(COUNTIF(Стимуляторы!$E$3:K3,"Перцептил бета")+$AB$14-1)*$D$26,0),"# ##0,0%"),0)</f>
        <v>0</v>
      </c>
      <c r="Y15" s="1172">
        <f>IF(Стимуляторы!L3="Перцептил бета",TEXT(IF(Стимуляторы!L3="Перцептил бета",0.5^(COUNTIF(Стимуляторы!$E$3:L3,"Перцептил бета")+$AB$14-1)*$D$26,0),"# ##0,0%"),0)</f>
        <v>0</v>
      </c>
      <c r="Z15" s="1172">
        <f>IF(Стимуляторы!M3="Перцептил бета",TEXT(IF(Стимуляторы!M3="Перцептил бета",0.5^(COUNTIF(Стимуляторы!$E$3:M3,"Перцептил бета")+$AB$14-1)*$D$26,0),"# ##0,0%"),0)</f>
        <v>0</v>
      </c>
      <c r="AA15" s="1172">
        <f>IF(Стимуляторы!N3="Перцептил бета",TEXT(IF(Стимуляторы!N3="Перцептил бета",0.5^(COUNTIF(Стимуляторы!$E$3:N3,"Перцептил бета")+$AB$14-1)*$D$26,0),"# ##0,0%"),0)</f>
        <v>0</v>
      </c>
      <c r="AB15" s="1191">
        <f t="shared" ref="AB15:AB17" si="5">COUNTIF(R15:AA15,"*")</f>
        <v>0</v>
      </c>
      <c r="AC15" s="1171" t="s">
        <v>518</v>
      </c>
      <c r="AD15" s="1172">
        <f>IF(Стимуляторы!E3="Перцептил бета",TEXT(IF(Стимуляторы!E3="Перцептил бета",0.5^(COUNTIF(Стимуляторы!$E$3:E3,"Перцептил бета")+$AN$14-1)*$F$26,0),"# ##0,0%"),0)</f>
        <v>0</v>
      </c>
      <c r="AE15" s="1172">
        <f>IF(Стимуляторы!F3="Перцептил бета",TEXT(IF(Стимуляторы!F3="Перцептил бета",0.5^(COUNTIF(Стимуляторы!$E$3:F3,"Перцептил бета")+$AN$14-1)*$F$26,0),"# ##0,0%"),0)</f>
        <v>0</v>
      </c>
      <c r="AF15" s="1172">
        <f>IF(Стимуляторы!G3="Перцептил бета",TEXT(IF(Стимуляторы!G3="Перцептил бета",0.5^(COUNTIF(Стимуляторы!$E$3:G3,"Перцептил бета")+$AN$14-1)*$F$26,0),"# ##0,0%"),0)</f>
        <v>0</v>
      </c>
      <c r="AG15" s="1172">
        <f>IF(Стимуляторы!H3="Перцептил бета",TEXT(IF(Стимуляторы!H3="Перцептил бета",0.5^(COUNTIF(Стимуляторы!$E$3:H3,"Перцептил бета")+$AN$14-1)*$F$26,0),"# ##0,0%"),0)</f>
        <v>0</v>
      </c>
      <c r="AH15" s="1172">
        <f>IF(Стимуляторы!I3="Перцептил бета",TEXT(IF(Стимуляторы!I3="Перцептил бета",0.5^(COUNTIF(Стимуляторы!$E$3:I3,"Перцептил бета")+$AN$14-1)*$F$26,0),"# ##0,0%"),0)</f>
        <v>0</v>
      </c>
      <c r="AI15" s="1172">
        <f>IF(Стимуляторы!J3="Перцептил бета",TEXT(IF(Стимуляторы!J3="Перцептил бета",0.5^(COUNTIF(Стимуляторы!$E$3:J3,"Перцептил бета")+$AN$14-1)*$F$26,0),"# ##0,0%"),0)</f>
        <v>0</v>
      </c>
      <c r="AJ15" s="1172">
        <f>IF(Стимуляторы!K3="Перцептил бета",TEXT(IF(Стимуляторы!K3="Перцептил бета",0.5^(COUNTIF(Стимуляторы!$E$3:K3,"Перцептил бета")+$AN$14-1)*$F$26,0),"# ##0,0%"),0)</f>
        <v>0</v>
      </c>
      <c r="AK15" s="1172">
        <f>IF(Стимуляторы!L3="Перцептил бета",TEXT(IF(Стимуляторы!L3="Перцептил бета",0.5^(COUNTIF(Стимуляторы!$E$3:L3,"Перцептил бета")+$AN$14-1)*$F$26,0),"# ##0,0%"),0)</f>
        <v>0</v>
      </c>
      <c r="AL15" s="1172">
        <f>IF(Стимуляторы!M3="Перцептил бета",TEXT(IF(Стимуляторы!M3="Перцептил бета",0.5^(COUNTIF(Стимуляторы!$E$3:M3,"Перцептил бета")+$AN$14-1)*$F$26,0),"# ##0,0%"),0)</f>
        <v>0</v>
      </c>
      <c r="AM15" s="1172">
        <f>IF(Стимуляторы!N3="Перцептил бета",TEXT(IF(Стимуляторы!N3="Перцептил бета",0.5^(COUNTIF(Стимуляторы!$E$3:N3,"Перцептил бета")+$AN$14-1)*$F$26,0),"# ##0,0%"),0)</f>
        <v>0</v>
      </c>
      <c r="AN15" s="1191">
        <f t="shared" ref="AN15:AN17" si="6">COUNTIF(AD15:AM15,"*")</f>
        <v>0</v>
      </c>
      <c r="AO15" s="1171" t="s">
        <v>776</v>
      </c>
      <c r="AP15" s="1172">
        <f>IF(Стимуляторы!E3="Перцептил бета",TEXT(IF(Стимуляторы!E3="Перцептил бета",0.5^(COUNTIF(Стимуляторы!$E$3:E3,"Перцептил бета")+$AZ$14-1)*$H$26,0),"# ##0,0%"),0)</f>
        <v>0</v>
      </c>
      <c r="AQ15" s="1172">
        <f>IF(Стимуляторы!F3="Перцептил бета",TEXT(IF(Стимуляторы!F3="Перцептил бета",0.5^(COUNTIF(Стимуляторы!$E$3:F3,"Перцептил бета")+$AZ$14-1)*$H$26,0),"# ##0,0%"),0)</f>
        <v>0</v>
      </c>
      <c r="AR15" s="1172">
        <f>IF(Стимуляторы!G3="Перцептил бета",TEXT(IF(Стимуляторы!G3="Перцептил бета",0.5^(COUNTIF(Стимуляторы!$E$3:G3,"Перцептил бета")+$AZ$14-1)*$H$26,0),"# ##0,0%"),0)</f>
        <v>0</v>
      </c>
      <c r="AS15" s="1172">
        <f>IF(Стимуляторы!H3="Перцептил бета",TEXT(IF(Стимуляторы!H3="Перцептил бета",0.5^(COUNTIF(Стимуляторы!$E$3:H3,"Перцептил бета")+$AZ$14-1)*$H$26,0),"# ##0,0%"),0)</f>
        <v>0</v>
      </c>
      <c r="AT15" s="1172">
        <f>IF(Стимуляторы!I3="Перцептил бета",TEXT(IF(Стимуляторы!I3="Перцептил бета",0.5^(COUNTIF(Стимуляторы!$E$3:I3,"Перцептил бета")+$AZ$14-1)*$H$26,0),"# ##0,0%"),0)</f>
        <v>0</v>
      </c>
      <c r="AU15" s="1172">
        <f>IF(Стимуляторы!J3="Перцептил бета",TEXT(IF(Стимуляторы!J3="Перцептил бета",0.5^(COUNTIF(Стимуляторы!$E$3:J3,"Перцептил бета")+$AZ$14-1)*$H$26,0),"# ##0,0%"),0)</f>
        <v>0</v>
      </c>
      <c r="AV15" s="1172">
        <f>IF(Стимуляторы!K3="Перцептил бета",TEXT(IF(Стимуляторы!K3="Перцептил бета",0.5^(COUNTIF(Стимуляторы!$E$3:K3,"Перцептил бета")+$AZ$14-1)*$H$26,0),"# ##0,0%"),0)</f>
        <v>0</v>
      </c>
      <c r="AW15" s="1172">
        <f>IF(Стимуляторы!L3="Перцептил бета",TEXT(IF(Стимуляторы!L3="Перцептил бета",0.5^(COUNTIF(Стимуляторы!$E$3:L3,"Перцептил бета")+$AZ$14-1)*$H$26,0),"# ##0,0%"),0)</f>
        <v>0</v>
      </c>
      <c r="AX15" s="1172">
        <f>IF(Стимуляторы!M3="Перцептил бета",TEXT(IF(Стимуляторы!M3="Перцептил бета",0.5^(COUNTIF(Стимуляторы!$E$3:M3,"Перцептил бета")+$AZ$14-1)*$H$26,0),"# ##0,0%"),0)</f>
        <v>0</v>
      </c>
      <c r="AY15" s="1172">
        <f>IF(Стимуляторы!N3="Перцептил бета",TEXT(IF(Стимуляторы!N3="Перцептил бета",0.5^(COUNTIF(Стимуляторы!$E$3:N3,"Перцептил бета")+$AZ$14-1)*$H$26,0),"# ##0,0%"),0)</f>
        <v>0</v>
      </c>
      <c r="AZ15" s="1191">
        <f t="shared" ref="AZ15:AZ17" si="7">COUNTIF(AP15:AY15,"*")</f>
        <v>0</v>
      </c>
    </row>
    <row r="16" spans="1:52" ht="33" customHeight="1" x14ac:dyDescent="0.25">
      <c r="A16" s="1094"/>
      <c r="B16" s="1090"/>
      <c r="C16" s="1090"/>
      <c r="D16" s="1092"/>
      <c r="E16" s="1090"/>
      <c r="F16" s="1092"/>
      <c r="G16" s="1090"/>
      <c r="H16" s="1092"/>
      <c r="I16" s="1090"/>
      <c r="J16" s="1092"/>
      <c r="K16" s="1090"/>
      <c r="L16" s="1092"/>
      <c r="M16" s="1090"/>
      <c r="N16" s="1093"/>
      <c r="P16" s="1162" t="s">
        <v>384</v>
      </c>
      <c r="Q16" s="1178" t="s">
        <v>69</v>
      </c>
      <c r="R16" s="1172">
        <f>IF(Стимуляторы!E3="Перцептил альфа М",TEXT(IF(Стимуляторы!E3="Перцептил альфа М",0.5^(COUNTIF(Стимуляторы!$E$3:E3,"Перцептил альфа М")+$AB$14+$AB$15-1)*$D$33,0),"# ##0,0%"),0)</f>
        <v>0</v>
      </c>
      <c r="S16" s="1172">
        <f>IF(Стимуляторы!F3="Перцептил альфа М",TEXT(IF(Стимуляторы!F3="Перцептил альфа М",0.5^(COUNTIF(Стимуляторы!$E$3:F3,"Перцептил альфа М")+$AB$14+$AB$15-1)*$D$33,0),"# ##0,0%"),0)</f>
        <v>0</v>
      </c>
      <c r="T16" s="1172">
        <f>IF(Стимуляторы!G3="Перцептил альфа М",TEXT(IF(Стимуляторы!G3="Перцептил альфа М",0.5^(COUNTIF(Стимуляторы!$E$3:G3,"Перцептил альфа М")+$AB$14+$AB$15-1)*$D$33,0),"# ##0,0%"),0)</f>
        <v>0</v>
      </c>
      <c r="U16" s="1172">
        <f>IF(Стимуляторы!H3="Перцептил альфа М",TEXT(IF(Стимуляторы!H3="Перцептил альфа М",0.5^(COUNTIF(Стимуляторы!$E$3:H3,"Перцептил альфа М")+$AB$14+$AB$15-1)*$D$33,0),"# ##0,0%"),0)</f>
        <v>0</v>
      </c>
      <c r="V16" s="1172">
        <f>IF(Стимуляторы!I3="Перцептил альфа М",TEXT(IF(Стимуляторы!I3="Перцептил альфа М",0.5^(COUNTIF(Стимуляторы!$E$3:I3,"Перцептил альфа М")+$AB$14+$AB$15-1)*$D$33,0),"# ##0,0%"),0)</f>
        <v>0</v>
      </c>
      <c r="W16" s="1172">
        <f>IF(Стимуляторы!J3="Перцептил альфа М",TEXT(IF(Стимуляторы!J3="Перцептил альфа М",0.5^(COUNTIF(Стимуляторы!$E$3:J3,"Перцептил альфа М")+$AB$14+$AB$15-1)*$D$33,0),"# ##0,0%"),0)</f>
        <v>0</v>
      </c>
      <c r="X16" s="1172">
        <f>IF(Стимуляторы!K3="Перцептил альфа М",TEXT(IF(Стимуляторы!K3="Перцептил альфа М",0.5^(COUNTIF(Стимуляторы!$E$3:K3,"Перцептил альфа М")+$AB$14+$AB$15-1)*$D$33,0),"# ##0,0%"),0)</f>
        <v>0</v>
      </c>
      <c r="Y16" s="1172">
        <f>IF(Стимуляторы!L3="Перцептил альфа М",TEXT(IF(Стимуляторы!L3="Перцептил альфа М",0.5^(COUNTIF(Стимуляторы!$E$3:L3,"Перцептил альфа М")+$AB$14+$AB$15-1)*$D$33,0),"# ##0,0%"),0)</f>
        <v>0</v>
      </c>
      <c r="Z16" s="1172">
        <f>IF(Стимуляторы!M3="Перцептил альфа М",TEXT(IF(Стимуляторы!M3="Перцептил альфа М",0.5^(COUNTIF(Стимуляторы!$E$3:M3,"Перцептил альфа М")+$AB$14+$AB$15-1)*$D$33,0),"# ##0,0%"),0)</f>
        <v>0</v>
      </c>
      <c r="AA16" s="1172">
        <f>IF(Стимуляторы!N3="Перцептил альфа М",TEXT(IF(Стимуляторы!N3="Перцептил альфа М",0.5^(COUNTIF(Стимуляторы!$E$3:N3,"Перцептил альфа М")+$AB$14+$AB$15-1)*$D$33,0),"# ##0,0%"),0)</f>
        <v>0</v>
      </c>
      <c r="AB16" s="1191">
        <f t="shared" si="5"/>
        <v>0</v>
      </c>
      <c r="AC16" s="1171" t="s">
        <v>518</v>
      </c>
      <c r="AD16" s="1172">
        <f>IF(Стимуляторы!E3="Перцептил альфа М",TEXT(IF(Стимуляторы!E3="Перцептил альфа М",0.5^(COUNTIF(Стимуляторы!$E$3:E3,"Перцептил альфа М")+$AN$14+$AN$15-1)*$F$33,0),"# ##0,0%"),0)</f>
        <v>0</v>
      </c>
      <c r="AE16" s="1172">
        <f>IF(Стимуляторы!F3="Перцептил альфа М",TEXT(IF(Стимуляторы!F3="Перцептил альфа М",0.5^(COUNTIF(Стимуляторы!$E$3:F3,"Перцептил альфа М")+$AN$14+$AN$15-1)*$F$33,0),"# ##0,0%"),0)</f>
        <v>0</v>
      </c>
      <c r="AF16" s="1172">
        <f>IF(Стимуляторы!G3="Перцептил альфа М",TEXT(IF(Стимуляторы!G3="Перцептил альфа М",0.5^(COUNTIF(Стимуляторы!$E$3:G3,"Перцептил альфа М")+$AN$14+$AN$15-1)*$F$33,0),"# ##0,0%"),0)</f>
        <v>0</v>
      </c>
      <c r="AG16" s="1172">
        <f>IF(Стимуляторы!H3="Перцептил альфа М",TEXT(IF(Стимуляторы!H3="Перцептил альфа М",0.5^(COUNTIF(Стимуляторы!$E$3:H3,"Перцептил альфа М")+$AN$14+$AN$15-1)*$F$33,0),"# ##0,0%"),0)</f>
        <v>0</v>
      </c>
      <c r="AH16" s="1172">
        <f>IF(Стимуляторы!I3="Перцептил альфа М",TEXT(IF(Стимуляторы!I3="Перцептил альфа М",0.5^(COUNTIF(Стимуляторы!$E$3:I3,"Перцептил альфа М")+$AN$14+$AN$15-1)*$F$33,0),"# ##0,0%"),0)</f>
        <v>0</v>
      </c>
      <c r="AI16" s="1172">
        <f>IF(Стимуляторы!J3="Перцептил альфа М",TEXT(IF(Стимуляторы!J3="Перцептил альфа М",0.5^(COUNTIF(Стимуляторы!$E$3:J3,"Перцептил альфа М")+$AN$14+$AN$15-1)*$F$33,0),"# ##0,0%"),0)</f>
        <v>0</v>
      </c>
      <c r="AJ16" s="1172">
        <f>IF(Стимуляторы!K3="Перцептил альфа М",TEXT(IF(Стимуляторы!K3="Перцептил альфа М",0.5^(COUNTIF(Стимуляторы!$E$3:K3,"Перцептил альфа М")+$AN$14+$AN$15-1)*$F$33,0),"# ##0,0%"),0)</f>
        <v>0</v>
      </c>
      <c r="AK16" s="1172">
        <f>IF(Стимуляторы!L3="Перцептил альфа М",TEXT(IF(Стимуляторы!L3="Перцептил альфа М",0.5^(COUNTIF(Стимуляторы!$E$3:L3,"Перцептил альфа М")+$AN$14+$AN$15-1)*$F$33,0),"# ##0,0%"),0)</f>
        <v>0</v>
      </c>
      <c r="AL16" s="1172">
        <f>IF(Стимуляторы!M3="Перцептил альфа М",TEXT(IF(Стимуляторы!M3="Перцептил альфа М",0.5^(COUNTIF(Стимуляторы!$E$3:M3,"Перцептил альфа М")+$AN$14+$AN$15-1)*$F$33,0),"# ##0,0%"),0)</f>
        <v>0</v>
      </c>
      <c r="AM16" s="1172">
        <f>IF(Стимуляторы!N3="Перцептил альфа М",TEXT(IF(Стимуляторы!N3="Перцептил альфа М",0.5^(COUNTIF(Стимуляторы!$E$3:N3,"Перцептил альфа М")+$AN$14+$AN$15-1)*$F$33,0),"# ##0,0%"),0)</f>
        <v>0</v>
      </c>
      <c r="AN16" s="1191">
        <f t="shared" si="6"/>
        <v>0</v>
      </c>
      <c r="AO16" s="1171" t="s">
        <v>776</v>
      </c>
      <c r="AP16" s="1172">
        <f>IF(Стимуляторы!E3="Перцептил альфа М",TEXT(IF(Стимуляторы!E3="Перцептил альфа М",0.5^(COUNTIF(Стимуляторы!$E$3:E3,"Перцептил альфа М")+$AZ$14+$AZ$15-1)*$H$33,0),"# ##0,0%"),0)</f>
        <v>0</v>
      </c>
      <c r="AQ16" s="1172">
        <f>IF(Стимуляторы!F3="Перцептил альфа М",TEXT(IF(Стимуляторы!F3="Перцептил альфа М",0.5^(COUNTIF(Стимуляторы!$E$3:F3,"Перцептил альфа М")+$AZ$14+$AZ$15-1)*$H$33,0),"# ##0,0%"),0)</f>
        <v>0</v>
      </c>
      <c r="AR16" s="1172">
        <f>IF(Стимуляторы!G3="Перцептил альфа М",TEXT(IF(Стимуляторы!G3="Перцептил альфа М",0.5^(COUNTIF(Стимуляторы!$E$3:G3,"Перцептил альфа М")+$AZ$14+$AZ$15-1)*$H$33,0),"# ##0,0%"),0)</f>
        <v>0</v>
      </c>
      <c r="AS16" s="1172">
        <f>IF(Стимуляторы!H3="Перцептил альфа М",TEXT(IF(Стимуляторы!H3="Перцептил альфа М",0.5^(COUNTIF(Стимуляторы!$E$3:H3,"Перцептил альфа М")+$AZ$14+$AZ$15-1)*$H$33,0),"# ##0,0%"),0)</f>
        <v>0</v>
      </c>
      <c r="AT16" s="1172">
        <f>IF(Стимуляторы!I3="Перцептил альфа М",TEXT(IF(Стимуляторы!I3="Перцептил альфа М",0.5^(COUNTIF(Стимуляторы!$E$3:I3,"Перцептил альфа М")+$AZ$14+$AZ$15-1)*$H$33,0),"# ##0,0%"),0)</f>
        <v>0</v>
      </c>
      <c r="AU16" s="1172">
        <f>IF(Стимуляторы!J3="Перцептил альфа М",TEXT(IF(Стимуляторы!J3="Перцептил альфа М",0.5^(COUNTIF(Стимуляторы!$E$3:J3,"Перцептил альфа М")+$AZ$14+$AZ$15-1)*$H$33,0),"# ##0,0%"),0)</f>
        <v>0</v>
      </c>
      <c r="AV16" s="1172">
        <f>IF(Стимуляторы!K3="Перцептил альфа М",TEXT(IF(Стимуляторы!K3="Перцептил альфа М",0.5^(COUNTIF(Стимуляторы!$E$3:K3,"Перцептил альфа М")+$AZ$14+$AZ$15-1)*$H$33,0),"# ##0,0%"),0)</f>
        <v>0</v>
      </c>
      <c r="AW16" s="1172">
        <f>IF(Стимуляторы!L3="Перцептил альфа М",TEXT(IF(Стимуляторы!L3="Перцептил альфа М",0.5^(COUNTIF(Стимуляторы!$E$3:L3,"Перцептил альфа М")+$AZ$14+$AZ$15-1)*$H$33,0),"# ##0,0%"),0)</f>
        <v>0</v>
      </c>
      <c r="AX16" s="1172">
        <f>IF(Стимуляторы!M3="Перцептил альфа М",TEXT(IF(Стимуляторы!M3="Перцептил альфа М",0.5^(COUNTIF(Стимуляторы!$E$3:M3,"Перцептил альфа М")+$AZ$14+$AZ$15-1)*$H$33,0),"# ##0,0%"),0)</f>
        <v>0</v>
      </c>
      <c r="AY16" s="1172">
        <f>IF(Стимуляторы!N3="Перцептил альфа М",TEXT(IF(Стимуляторы!N3="Перцептил альфа М",0.5^(COUNTIF(Стимуляторы!$E$3:N3,"Перцептил альфа М")+$AZ$14+$AZ$15-1)*$H$33,0),"# ##0,0%"),0)</f>
        <v>0</v>
      </c>
      <c r="AZ16" s="1191">
        <f t="shared" si="7"/>
        <v>0</v>
      </c>
    </row>
    <row r="17" spans="1:52" ht="33" customHeight="1" thickBot="1" x14ac:dyDescent="0.3">
      <c r="A17" s="1088" t="s">
        <v>365</v>
      </c>
      <c r="B17" s="1089"/>
      <c r="C17" s="1090" t="s">
        <v>278</v>
      </c>
      <c r="D17" s="1091">
        <v>0.16</v>
      </c>
      <c r="E17" s="1096" t="s">
        <v>773</v>
      </c>
      <c r="F17" s="1092">
        <v>25</v>
      </c>
      <c r="G17" s="1090"/>
      <c r="H17" s="1092"/>
      <c r="I17" s="1090"/>
      <c r="J17" s="1092"/>
      <c r="K17" s="1090"/>
      <c r="L17" s="1092"/>
      <c r="M17" s="1090" t="s">
        <v>333</v>
      </c>
      <c r="N17" s="1093">
        <v>5</v>
      </c>
      <c r="P17" s="1165" t="s">
        <v>483</v>
      </c>
      <c r="Q17" s="1179" t="s">
        <v>69</v>
      </c>
      <c r="R17" s="1174">
        <f>IF(Стимуляторы!E3="Перцептил бета М",TEXT(IF(Стимуляторы!E3="Перцептил бета М",0.5^(COUNTIF(Стимуляторы!$E$3:E3,"Перцептил бета М")+$AB$14+$AB$15+$AB$16-1)*$D$40,0),"# ##0,0%"),0)</f>
        <v>0</v>
      </c>
      <c r="S17" s="1174">
        <f>IF(Стимуляторы!F3="Перцептил бета М",TEXT(IF(Стимуляторы!F3="Перцептил бета М",0.5^(COUNTIF(Стимуляторы!$E$3:F3,"Перцептил бета М")+$AB$14+$AB$15+$AB$16-1)*$D$40,0),"# ##0,0%"),0)</f>
        <v>0</v>
      </c>
      <c r="T17" s="1174">
        <f>IF(Стимуляторы!G3="Перцептил бета М",TEXT(IF(Стимуляторы!G3="Перцептил бета М",0.5^(COUNTIF(Стимуляторы!$E$3:G3,"Перцептил бета М")+$AB$14+$AB$15+$AB$16-1)*$D$40,0),"# ##0,0%"),0)</f>
        <v>0</v>
      </c>
      <c r="U17" s="1174">
        <f>IF(Стимуляторы!H3="Перцептил бета М",TEXT(IF(Стимуляторы!H3="Перцептил бета М",0.5^(COUNTIF(Стимуляторы!$E$3:H3,"Перцептил бета М")+$AB$14+$AB$15+$AB$16-1)*$D$40,0),"# ##0,0%"),0)</f>
        <v>0</v>
      </c>
      <c r="V17" s="1174">
        <f>IF(Стимуляторы!I3="Перцептил бета М",TEXT(IF(Стимуляторы!I3="Перцептил бета М",0.5^(COUNTIF(Стимуляторы!$E$3:I3,"Перцептил бета М")+$AB$14+$AB$15+$AB$16-1)*$D$40,0),"# ##0,0%"),0)</f>
        <v>0</v>
      </c>
      <c r="W17" s="1174">
        <f>IF(Стимуляторы!J3="Перцептил бета М",TEXT(IF(Стимуляторы!J3="Перцептил бета М",0.5^(COUNTIF(Стимуляторы!$E$3:J3,"Перцептил бета М")+$AB$14+$AB$15+$AB$16-1)*$D$40,0),"# ##0,0%"),0)</f>
        <v>0</v>
      </c>
      <c r="X17" s="1174">
        <f>IF(Стимуляторы!K3="Перцептил бета М",TEXT(IF(Стимуляторы!K3="Перцептил бета М",0.5^(COUNTIF(Стимуляторы!$E$3:K3,"Перцептил бета М")+$AB$14+$AB$15+$AB$16-1)*$D$40,0),"# ##0,0%"),0)</f>
        <v>0</v>
      </c>
      <c r="Y17" s="1174">
        <f>IF(Стимуляторы!L3="Перцептил бета М",TEXT(IF(Стимуляторы!L3="Перцептил бета М",0.5^(COUNTIF(Стимуляторы!$E$3:L3,"Перцептил бета М")+$AB$14+$AB$15+$AB$16-1)*$D$40,0),"# ##0,0%"),0)</f>
        <v>0</v>
      </c>
      <c r="Z17" s="1174">
        <f>IF(Стимуляторы!M3="Перцептил бета М",TEXT(IF(Стимуляторы!M3="Перцептил бета М",0.5^(COUNTIF(Стимуляторы!$E$3:M3,"Перцептил бета М")+$AB$14+$AB$15+$AB$16-1)*$D$40,0),"# ##0,0%"),0)</f>
        <v>0</v>
      </c>
      <c r="AA17" s="1174">
        <f>IF(Стимуляторы!N3="Перцептил бета М",TEXT(IF(Стимуляторы!N3="Перцептил бета М",0.5^(COUNTIF(Стимуляторы!$E$3:N3,"Перцептил бета М")+$AB$14+$AB$15+$AB$16-1)*$D$40,0),"# ##0,0%"),0)</f>
        <v>0</v>
      </c>
      <c r="AB17" s="1191">
        <f t="shared" si="5"/>
        <v>0</v>
      </c>
      <c r="AC17" s="1186" t="s">
        <v>518</v>
      </c>
      <c r="AD17" s="1177">
        <f>IF(Стимуляторы!E3="Перцептил бета М",TEXT(IF(Стимуляторы!E3="Перцептил бета М",0.5^(COUNTIF(Стимуляторы!$E$3:E3,"Перцептил бета М")+$AN$14+$AN$15+$AN$16-1)*$F$40,0),"# ##0,0%"),0)</f>
        <v>0</v>
      </c>
      <c r="AE17" s="1177">
        <f>IF(Стимуляторы!F3="Перцептил бета М",TEXT(IF(Стимуляторы!F3="Перцептил бета М",0.5^(COUNTIF(Стимуляторы!$E$3:F3,"Перцептил бета М")+$AN$14+$AN$15+$AN$16-1)*$F$40,0),"# ##0,0%"),0)</f>
        <v>0</v>
      </c>
      <c r="AF17" s="1177">
        <f>IF(Стимуляторы!G3="Перцептил бета М",TEXT(IF(Стимуляторы!G3="Перцептил бета М",0.5^(COUNTIF(Стимуляторы!$E$3:G3,"Перцептил бета М")+$AN$14+$AN$15+$AN$16-1)*$F$40,0),"# ##0,0%"),0)</f>
        <v>0</v>
      </c>
      <c r="AG17" s="1177">
        <f>IF(Стимуляторы!H3="Перцептил бета М",TEXT(IF(Стимуляторы!H3="Перцептил бета М",0.5^(COUNTIF(Стимуляторы!$E$3:H3,"Перцептил бета М")+$AN$14+$AN$15+$AN$16-1)*$F$40,0),"# ##0,0%"),0)</f>
        <v>0</v>
      </c>
      <c r="AH17" s="1177">
        <f>IF(Стимуляторы!I3="Перцептил бета М",TEXT(IF(Стимуляторы!I3="Перцептил бета М",0.5^(COUNTIF(Стимуляторы!$E$3:I3,"Перцептил бета М")+$AN$14+$AN$15+$AN$16-1)*$F$40,0),"# ##0,0%"),0)</f>
        <v>0</v>
      </c>
      <c r="AI17" s="1177">
        <f>IF(Стимуляторы!J3="Перцептил бета М",TEXT(IF(Стимуляторы!J3="Перцептил бета М",0.5^(COUNTIF(Стимуляторы!$E$3:J3,"Перцептил бета М")+$AN$14+$AN$15+$AN$16-1)*$F$40,0),"# ##0,0%"),0)</f>
        <v>0</v>
      </c>
      <c r="AJ17" s="1177">
        <f>IF(Стимуляторы!K3="Перцептил бета М",TEXT(IF(Стимуляторы!K3="Перцептил бета М",0.5^(COUNTIF(Стимуляторы!$E$3:K3,"Перцептил бета М")+$AN$14+$AN$15+$AN$16-1)*$F$40,0),"# ##0,0%"),0)</f>
        <v>0</v>
      </c>
      <c r="AK17" s="1177">
        <f>IF(Стимуляторы!L3="Перцептил бета М",TEXT(IF(Стимуляторы!L3="Перцептил бета М",0.5^(COUNTIF(Стимуляторы!$E$3:L3,"Перцептил бета М")+$AN$14+$AN$15+$AN$16-1)*$F$40,0),"# ##0,0%"),0)</f>
        <v>0</v>
      </c>
      <c r="AL17" s="1177">
        <f>IF(Стимуляторы!M3="Перцептил бета М",TEXT(IF(Стимуляторы!M3="Перцептил бета М",0.5^(COUNTIF(Стимуляторы!$E$3:M3,"Перцептил бета М")+$AN$14+$AN$15+$AN$16-1)*$F$40,0),"# ##0,0%"),0)</f>
        <v>0</v>
      </c>
      <c r="AM17" s="1177">
        <f>IF(Стимуляторы!N3="Перцептил бета М",TEXT(IF(Стимуляторы!N3="Перцептил бета М",0.5^(COUNTIF(Стимуляторы!$E$3:N3,"Перцептил бета М")+$AN$14+$AN$15+$AN$16-1)*$F$40,0),"# ##0,0%"),0)</f>
        <v>0</v>
      </c>
      <c r="AN17" s="1155">
        <f t="shared" si="6"/>
        <v>0</v>
      </c>
      <c r="AO17" s="1173" t="s">
        <v>776</v>
      </c>
      <c r="AP17" s="1174">
        <f>IF(Стимуляторы!E3="Перцептил бета М",TEXT(IF(Стимуляторы!E3="Перцептил бета М",0.5^(COUNTIF(Стимуляторы!$E$3:E3,"Перцептил бета М")+$AZ$14+$AZ$15+$AZ$16-1)*$H$40,0),"# ##0,0%"),0)</f>
        <v>0</v>
      </c>
      <c r="AQ17" s="1174">
        <f>IF(Стимуляторы!F3="Перцептил бета М",TEXT(IF(Стимуляторы!F3="Перцептил бета М",0.5^(COUNTIF(Стимуляторы!$E$3:F3,"Перцептил бета М")+$AZ$14+$AZ$15+$AZ$16-1)*$H$40,0),"# ##0,0%"),0)</f>
        <v>0</v>
      </c>
      <c r="AR17" s="1174">
        <f>IF(Стимуляторы!G3="Перцептил бета М",TEXT(IF(Стимуляторы!G3="Перцептил бета М",0.5^(COUNTIF(Стимуляторы!$E$3:G3,"Перцептил бета М")+$AZ$14+$AZ$15+$AZ$16-1)*$H$40,0),"# ##0,0%"),0)</f>
        <v>0</v>
      </c>
      <c r="AS17" s="1174">
        <f>IF(Стимуляторы!H3="Перцептил бета М",TEXT(IF(Стимуляторы!H3="Перцептил бета М",0.5^(COUNTIF(Стимуляторы!$E$3:H3,"Перцептил бета М")+$AZ$14+$AZ$15+$AZ$16-1)*$H$40,0),"# ##0,0%"),0)</f>
        <v>0</v>
      </c>
      <c r="AT17" s="1174">
        <f>IF(Стимуляторы!I3="Перцептил бета М",TEXT(IF(Стимуляторы!I3="Перцептил бета М",0.5^(COUNTIF(Стимуляторы!$E$3:I3,"Перцептил бета М")+$AZ$14+$AZ$15+$AZ$16-1)*$H$40,0),"# ##0,0%"),0)</f>
        <v>0</v>
      </c>
      <c r="AU17" s="1174">
        <f>IF(Стимуляторы!J3="Перцептил бета М",TEXT(IF(Стимуляторы!J3="Перцептил бета М",0.5^(COUNTIF(Стимуляторы!$E$3:J3,"Перцептил бета М")+$AZ$14+$AZ$15+$AZ$16-1)*$H$40,0),"# ##0,0%"),0)</f>
        <v>0</v>
      </c>
      <c r="AV17" s="1174">
        <f>IF(Стимуляторы!K3="Перцептил бета М",TEXT(IF(Стимуляторы!K3="Перцептил бета М",0.5^(COUNTIF(Стимуляторы!$E$3:K3,"Перцептил бета М")+$AZ$14+$AZ$15+$AZ$16-1)*$H$40,0),"# ##0,0%"),0)</f>
        <v>0</v>
      </c>
      <c r="AW17" s="1174">
        <f>IF(Стимуляторы!L3="Перцептил бета М",TEXT(IF(Стимуляторы!L3="Перцептил бета М",0.5^(COUNTIF(Стимуляторы!$E$3:L3,"Перцептил бета М")+$AZ$14+$AZ$15+$AZ$16-1)*$H$40,0),"# ##0,0%"),0)</f>
        <v>0</v>
      </c>
      <c r="AX17" s="1174">
        <f>IF(Стимуляторы!M3="Перцептил бета М",TEXT(IF(Стимуляторы!M3="Перцептил бета М",0.5^(COUNTIF(Стимуляторы!$E$3:M3,"Перцептил бета М")+$AZ$14+$AZ$15+$AZ$16-1)*$H$40,0),"# ##0,0%"),0)</f>
        <v>0</v>
      </c>
      <c r="AY17" s="1174">
        <f>IF(Стимуляторы!N3="Перцептил бета М",TEXT(IF(Стимуляторы!N3="Перцептил бета М",0.5^(COUNTIF(Стимуляторы!$E$3:N3,"Перцептил бета М")+$AZ$14+$AZ$15+$AZ$16-1)*$H$40,0),"# ##0,0%"),0)</f>
        <v>0</v>
      </c>
      <c r="AZ17" s="1191">
        <f t="shared" si="7"/>
        <v>0</v>
      </c>
    </row>
    <row r="18" spans="1:52" ht="33" customHeight="1" x14ac:dyDescent="0.25">
      <c r="A18" s="1088" t="s">
        <v>478</v>
      </c>
      <c r="B18" s="1089"/>
      <c r="C18" s="1095" t="s">
        <v>31</v>
      </c>
      <c r="D18" s="1091">
        <v>0.1</v>
      </c>
      <c r="E18" s="1090"/>
      <c r="F18" s="1092"/>
      <c r="G18" s="1090"/>
      <c r="H18" s="1092"/>
      <c r="I18" s="1090"/>
      <c r="J18" s="1092"/>
      <c r="K18" s="1090"/>
      <c r="L18" s="1092"/>
      <c r="M18" s="1090" t="s">
        <v>333</v>
      </c>
      <c r="N18" s="1093">
        <v>5</v>
      </c>
      <c r="P18" s="1210"/>
      <c r="Q18" s="1211"/>
      <c r="R18" s="1202"/>
      <c r="S18" s="1202"/>
      <c r="T18" s="1202"/>
      <c r="U18" s="1202"/>
      <c r="V18" s="1202"/>
      <c r="W18" s="1202"/>
      <c r="X18" s="1202"/>
      <c r="Y18" s="1202"/>
      <c r="Z18" s="1202"/>
      <c r="AA18" s="1202"/>
      <c r="AB18" s="1203"/>
      <c r="AC18" s="1242"/>
      <c r="AD18" s="1180"/>
      <c r="AE18" s="1180"/>
      <c r="AF18" s="1180"/>
      <c r="AG18" s="1180"/>
      <c r="AH18" s="1180"/>
      <c r="AI18" s="1180"/>
      <c r="AJ18" s="1180"/>
      <c r="AK18" s="1180"/>
      <c r="AL18" s="1180"/>
      <c r="AM18" s="1180"/>
      <c r="AN18" s="1243"/>
      <c r="AO18" s="1201"/>
      <c r="AP18" s="1202"/>
      <c r="AQ18" s="1202"/>
      <c r="AR18" s="1202"/>
      <c r="AS18" s="1202"/>
      <c r="AT18" s="1202"/>
      <c r="AU18" s="1202"/>
      <c r="AV18" s="1202"/>
      <c r="AW18" s="1202"/>
      <c r="AX18" s="1202"/>
      <c r="AY18" s="1202"/>
      <c r="AZ18" s="1203"/>
    </row>
    <row r="19" spans="1:52" ht="33" customHeight="1" x14ac:dyDescent="0.25">
      <c r="A19" s="1088" t="s">
        <v>373</v>
      </c>
      <c r="B19" s="1089"/>
      <c r="C19" s="1090" t="s">
        <v>69</v>
      </c>
      <c r="D19" s="1091">
        <v>0.1</v>
      </c>
      <c r="E19" s="1095" t="s">
        <v>774</v>
      </c>
      <c r="F19" s="1091">
        <v>0.1</v>
      </c>
      <c r="G19" s="1113" t="s">
        <v>776</v>
      </c>
      <c r="H19" s="1091">
        <v>0.1</v>
      </c>
      <c r="I19" s="1090"/>
      <c r="J19" s="1092"/>
      <c r="K19" s="1090"/>
      <c r="L19" s="1092"/>
      <c r="M19" s="1090" t="s">
        <v>333</v>
      </c>
      <c r="N19" s="1093">
        <v>5</v>
      </c>
      <c r="P19" s="1212" t="s">
        <v>484</v>
      </c>
      <c r="Q19" s="1178" t="s">
        <v>760</v>
      </c>
      <c r="R19" s="1213">
        <f>IF(Стимуляторы!E3="Рекуперант альфа",0.5^(COUNTIF(Стимуляторы!$E$3,"Рекуперант альфа")-1)*$D$20,0)</f>
        <v>0</v>
      </c>
      <c r="S19" s="1213">
        <f>IF(Стимуляторы!F3="Рекуперант альфа",0.5^(COUNTIF(Стимуляторы!$E$3:F3,"Рекуперант альфа")-1)*$D$20,0)</f>
        <v>0</v>
      </c>
      <c r="T19" s="1213">
        <f>IF(Стимуляторы!G3="Рекуперант альфа",0.5^(COUNTIF(Стимуляторы!$E$3:G3,"Рекуперант альфа")-1)*$D$20,0)</f>
        <v>0</v>
      </c>
      <c r="U19" s="1213">
        <f>IF(Стимуляторы!H3="Рекуперант альфа",0.5^(COUNTIF(Стимуляторы!$E$3:H3,"Рекуперант альфа")-1)*$D$20,0)</f>
        <v>0</v>
      </c>
      <c r="V19" s="1213">
        <f>IF(Стимуляторы!I3="Рекуперант альфа",0.5^(COUNTIF(Стимуляторы!$E$3:I3,"Рекуперант альфа")-1)*$D$20,0)</f>
        <v>0</v>
      </c>
      <c r="W19" s="1213">
        <f>IF(Стимуляторы!J3="Рекуперант альфа",0.5^(COUNTIF(Стимуляторы!$E$3:J3,"Рекуперант альфа")-1)*$D$20,0)</f>
        <v>0</v>
      </c>
      <c r="X19" s="1213">
        <f>IF(Стимуляторы!K3="Рекуперант альфа",0.5^(COUNTIF(Стимуляторы!$E$3:K3,"Рекуперант альфа")-1)*$D$20,0)</f>
        <v>0</v>
      </c>
      <c r="Y19" s="1213">
        <f>IF(Стимуляторы!L3="Рекуперант альфа",0.5^(COUNTIF(Стимуляторы!$E$3:L3,"Рекуперант альфа")-1)*$D$20,0)</f>
        <v>0</v>
      </c>
      <c r="Z19" s="1213">
        <f>IF(Стимуляторы!M3="Рекуперант альфа",0.5^(COUNTIF(Стимуляторы!$E$3:M3,"Рекуперант альфа")-1)*$D$20,0)</f>
        <v>0</v>
      </c>
      <c r="AA19" s="1213">
        <f>IF(Стимуляторы!N3="Рекуперант альфа",0.5^(COUNTIF(Стимуляторы!$E$3:N3,"Рекуперант альфа")-1)*$D$20,0)</f>
        <v>0</v>
      </c>
      <c r="AB19" s="1205">
        <f t="shared" ref="AB19:AB22" si="8">COUNTIF(R19:AA19,"&gt;0")</f>
        <v>0</v>
      </c>
      <c r="AC19" s="1209" t="s">
        <v>777</v>
      </c>
      <c r="AD19" s="1199">
        <f>IF(Стимуляторы!E3="Рекуперант альфа",0.5^(COUNTIF(Стимуляторы!$E$3,"Рекуперант альфа")-1)*$F$20,0)</f>
        <v>0</v>
      </c>
      <c r="AE19" s="1199">
        <f>IF(Стимуляторы!F3="Рекуперант альфа",0.5^(COUNTIF(Стимуляторы!$E$3:F3,"Рекуперант альфа")-1)*$F$20,0)</f>
        <v>0</v>
      </c>
      <c r="AF19" s="1199">
        <f>IF(Стимуляторы!G3="Рекуперант альфа",0.5^(COUNTIF(Стимуляторы!$E$3:G3,"Рекуперант альфа")-1)*$F$20,0)</f>
        <v>0</v>
      </c>
      <c r="AG19" s="1199">
        <f>IF(Стимуляторы!H3="Рекуперант альфа",0.5^(COUNTIF(Стимуляторы!$E$3:H3,"Рекуперант альфа")-1)*$F$20,0)</f>
        <v>0</v>
      </c>
      <c r="AH19" s="1199">
        <f>IF(Стимуляторы!I3="Рекуперант альфа",0.5^(COUNTIF(Стимуляторы!$E$3:I3,"Рекуперант альфа")-1)*$F$20,0)</f>
        <v>0</v>
      </c>
      <c r="AI19" s="1199">
        <f>IF(Стимуляторы!J3="Рекуперант альфа",0.5^(COUNTIF(Стимуляторы!$E$3:J3,"Рекуперант альфа")-1)*$F$20,0)</f>
        <v>0</v>
      </c>
      <c r="AJ19" s="1199">
        <f>IF(Стимуляторы!K3="Рекуперант альфа",0.5^(COUNTIF(Стимуляторы!$E$3:K3,"Рекуперант альфа")-1)*$F$20,0)</f>
        <v>0</v>
      </c>
      <c r="AK19" s="1199">
        <f>IF(Стимуляторы!L3="Рекуперант альфа",0.5^(COUNTIF(Стимуляторы!$E$3:L3,"Рекуперант альфа")-1)*$F$20,0)</f>
        <v>0</v>
      </c>
      <c r="AL19" s="1199">
        <f>IF(Стимуляторы!M3="Рекуперант альфа",0.5^(COUNTIF(Стимуляторы!$E$3:M3,"Рекуперант альфа")-1)*$F$20,0)</f>
        <v>0</v>
      </c>
      <c r="AM19" s="1199">
        <f>IF(Стимуляторы!N3="Рекуперант альфа",0.5^(COUNTIF(Стимуляторы!$E$3:N3,"Рекуперант альфа")-1)*$F$20,0)</f>
        <v>0</v>
      </c>
      <c r="AN19" s="1188">
        <f>COUNTIF(AD19:AM19,"&gt;0")</f>
        <v>0</v>
      </c>
      <c r="AO19" s="1204"/>
      <c r="AP19" s="1172"/>
      <c r="AQ19" s="1172"/>
      <c r="AR19" s="1172"/>
      <c r="AS19" s="1172"/>
      <c r="AT19" s="1172"/>
      <c r="AU19" s="1172"/>
      <c r="AV19" s="1172"/>
      <c r="AW19" s="1172"/>
      <c r="AX19" s="1172"/>
      <c r="AY19" s="1172"/>
      <c r="AZ19" s="1205"/>
    </row>
    <row r="20" spans="1:52" ht="33" customHeight="1" x14ac:dyDescent="0.25">
      <c r="A20" s="1088" t="s">
        <v>484</v>
      </c>
      <c r="B20" s="1089"/>
      <c r="C20" s="1090" t="s">
        <v>780</v>
      </c>
      <c r="D20" s="1091">
        <f>9.9%</f>
        <v>9.9000000000000005E-2</v>
      </c>
      <c r="E20" s="1095" t="s">
        <v>777</v>
      </c>
      <c r="F20" s="1092">
        <v>7</v>
      </c>
      <c r="G20" s="1090"/>
      <c r="H20" s="1092"/>
      <c r="I20" s="1090"/>
      <c r="J20" s="1092"/>
      <c r="K20" s="1090"/>
      <c r="L20" s="1092"/>
      <c r="M20" s="1090" t="s">
        <v>333</v>
      </c>
      <c r="N20" s="1093">
        <v>5</v>
      </c>
      <c r="P20" s="1212" t="s">
        <v>486</v>
      </c>
      <c r="Q20" s="1178" t="s">
        <v>760</v>
      </c>
      <c r="R20" s="1213">
        <f>IF(Стимуляторы!$E$3="Рекуперант бета",0.5^(COUNTIF(Стимуляторы!$E$3,"Рекуперант бета")+AB19-1)*$D$27,0)</f>
        <v>0</v>
      </c>
      <c r="S20" s="1213">
        <f>IF(Стимуляторы!F3="Рекуперант бета",0.5^(COUNTIF(Стимуляторы!$E$3:F3,"Рекуперант бета")+$AB$19-1)*$D$27,0)</f>
        <v>0</v>
      </c>
      <c r="T20" s="1213">
        <f>IF(Стимуляторы!G3="Рекуперант бета",0.5^(COUNTIF(Стимуляторы!$E$3:G3,"Рекуперант бета")+$AB$19-1)*$D$27,0)</f>
        <v>0</v>
      </c>
      <c r="U20" s="1213">
        <f>IF(Стимуляторы!H3="Рекуперант бета",0.5^(COUNTIF(Стимуляторы!$E$3:H3,"Рекуперант бета")+$AB$19-1)*$D$27,0)</f>
        <v>0</v>
      </c>
      <c r="V20" s="1213">
        <f>IF(Стимуляторы!I3="Рекуперант бета",0.5^(COUNTIF(Стимуляторы!$E$3:I3,"Рекуперант бета")+$AB$19-1)*$D$27,0)</f>
        <v>0</v>
      </c>
      <c r="W20" s="1213">
        <f>IF(Стимуляторы!J3="Рекуперант бета",0.5^(COUNTIF(Стимуляторы!$E$3:J3,"Рекуперант бета")+$AB$19-1)*$D$27,0)</f>
        <v>0</v>
      </c>
      <c r="X20" s="1213">
        <f>IF(Стимуляторы!K3="Рекуперант бета",0.5^(COUNTIF(Стимуляторы!$E$3:K3,"Рекуперант бета")+$AB$19-1)*$D$27,0)</f>
        <v>0</v>
      </c>
      <c r="Y20" s="1213">
        <f>IF(Стимуляторы!L3="Рекуперант бета",0.5^(COUNTIF(Стимуляторы!$E$3:L3,"Рекуперант бета")+$AB$19-1)*$D$27,0)</f>
        <v>0</v>
      </c>
      <c r="Z20" s="1213">
        <f>IF(Стимуляторы!M3="Рекуперант бета",0.5^(COUNTIF(Стимуляторы!$E$3:M3,"Рекуперант бета")+$AB$19-1)*$D$27,0)</f>
        <v>0</v>
      </c>
      <c r="AA20" s="1213">
        <f>IF(Стимуляторы!N3="Рекуперант бета",0.5^(COUNTIF(Стимуляторы!$E$3:N3,"Рекуперант бета")+$AB$19-1)*$D$27,0)</f>
        <v>0</v>
      </c>
      <c r="AB20" s="1205">
        <f t="shared" si="8"/>
        <v>0</v>
      </c>
      <c r="AC20" s="1209" t="s">
        <v>777</v>
      </c>
      <c r="AD20" s="1199">
        <f>IF(Стимуляторы!$E$3="Рекуперант бета",0.5^(COUNTIF(Стимуляторы!$E$3,"Рекуперант бета")+AN19-1)*$F$27,0)</f>
        <v>0</v>
      </c>
      <c r="AE20" s="1199">
        <f>IF(Стимуляторы!F3="Рекуперант бета",0.5^(COUNTIF(Стимуляторы!$E$3:F3,"Рекуперант бета")+$AN$19-1)*$F$27,0)</f>
        <v>0</v>
      </c>
      <c r="AF20" s="1199">
        <f>IF(Стимуляторы!G3="Рекуперант бета",0.5^(COUNTIF(Стимуляторы!$E$3:G3,"Рекуперант бета")+$AN$19-1)*$F$27,0)</f>
        <v>0</v>
      </c>
      <c r="AG20" s="1199">
        <f>IF(Стимуляторы!H3="Рекуперант бета",0.5^(COUNTIF(Стимуляторы!$E$3:H3,"Рекуперант бета")+$AN$19-1)*$F$27,0)</f>
        <v>0</v>
      </c>
      <c r="AH20" s="1199">
        <f>IF(Стимуляторы!I3="Рекуперант бета",0.5^(COUNTIF(Стимуляторы!$E$3:I3,"Рекуперант бета")+$AN$19-1)*$F$27,0)</f>
        <v>0</v>
      </c>
      <c r="AI20" s="1199">
        <f>IF(Стимуляторы!J3="Рекуперант бета",0.5^(COUNTIF(Стимуляторы!$E$3:J3,"Рекуперант бета")+$AN$19-1)*$F$27,0)</f>
        <v>0</v>
      </c>
      <c r="AJ20" s="1199">
        <f>IF(Стимуляторы!K3="Рекуперант бета",0.5^(COUNTIF(Стимуляторы!$E$3:K3,"Рекуперант бета")+$AN$19-1)*$F$27,0)</f>
        <v>0</v>
      </c>
      <c r="AK20" s="1199">
        <f>IF(Стимуляторы!L3="Рекуперант бета",0.5^(COUNTIF(Стимуляторы!$E$3:L3,"Рекуперант бета")+$AN$19-1)*$F$27,0)</f>
        <v>0</v>
      </c>
      <c r="AL20" s="1199">
        <f>IF(Стимуляторы!M3="Рекуперант бета",0.5^(COUNTIF(Стимуляторы!$E$3:M3,"Рекуперант бета")+$AN$19-1)*$F$27,0)</f>
        <v>0</v>
      </c>
      <c r="AM20" s="1199">
        <f>IF(Стимуляторы!N3="Рекуперант бета",0.5^(COUNTIF(Стимуляторы!$E$3:N3,"Рекуперант бета")+$AN$19-1)*$F$27,0)</f>
        <v>0</v>
      </c>
      <c r="AN20" s="1188">
        <f t="shared" ref="AN20:AN27" si="9">COUNTIF(AD20:AM20,"&gt;0")</f>
        <v>0</v>
      </c>
      <c r="AO20" s="1204"/>
      <c r="AP20" s="1172"/>
      <c r="AQ20" s="1172"/>
      <c r="AR20" s="1172"/>
      <c r="AS20" s="1172"/>
      <c r="AT20" s="1172"/>
      <c r="AU20" s="1172"/>
      <c r="AV20" s="1172"/>
      <c r="AW20" s="1172"/>
      <c r="AX20" s="1172"/>
      <c r="AY20" s="1172"/>
      <c r="AZ20" s="1205"/>
    </row>
    <row r="21" spans="1:52" ht="33" customHeight="1" x14ac:dyDescent="0.25">
      <c r="A21" s="1088" t="s">
        <v>488</v>
      </c>
      <c r="B21" s="1089"/>
      <c r="C21" s="1095" t="s">
        <v>601</v>
      </c>
      <c r="D21" s="1091">
        <v>0.05</v>
      </c>
      <c r="E21" s="1095" t="s">
        <v>399</v>
      </c>
      <c r="F21" s="1092">
        <v>12</v>
      </c>
      <c r="G21" s="1090"/>
      <c r="H21" s="1092"/>
      <c r="I21" s="1090"/>
      <c r="J21" s="1092"/>
      <c r="K21" s="1090"/>
      <c r="L21" s="1092"/>
      <c r="M21" s="1090" t="s">
        <v>333</v>
      </c>
      <c r="N21" s="1093">
        <v>5</v>
      </c>
      <c r="P21" s="1212" t="s">
        <v>485</v>
      </c>
      <c r="Q21" s="1178" t="s">
        <v>760</v>
      </c>
      <c r="R21" s="1213">
        <f>IF(Стимуляторы!E3="Рекуперант альфа М",0.5^(COUNTIF(Стимуляторы!$E$3,"Рекуперант альфа М")+AB19+AB20-1)*$D$34,0)</f>
        <v>0</v>
      </c>
      <c r="S21" s="1213">
        <f>IF(Стимуляторы!F3="Рекуперант альфа М",0.5^(COUNTIF(Стимуляторы!$E$3:F3,"Рекуперант альфа М")+$AB$19+$AB$20-1)*$D$34,0)</f>
        <v>0</v>
      </c>
      <c r="T21" s="1213">
        <f>IF(Стимуляторы!G3="Рекуперант альфа М",0.5^(COUNTIF(Стимуляторы!$E$3:G3,"Рекуперант альфа М")+$AB$19+$AB$20-1)*$D$34,0)</f>
        <v>0</v>
      </c>
      <c r="U21" s="1213">
        <f>IF(Стимуляторы!H3="Рекуперант альфа М",0.5^(COUNTIF(Стимуляторы!$E$3:H3,"Рекуперант альфа М")+$AB$19+$AB$20-1)*$D$34,0)</f>
        <v>0</v>
      </c>
      <c r="V21" s="1213">
        <f>IF(Стимуляторы!I3="Рекуперант альфа М",0.5^(COUNTIF(Стимуляторы!$E$3:I3,"Рекуперант альфа М")+$AB$19+$AB$20-1)*$D$34,0)</f>
        <v>0</v>
      </c>
      <c r="W21" s="1213">
        <f>IF(Стимуляторы!J3="Рекуперант альфа М",0.5^(COUNTIF(Стимуляторы!$E$3:J3,"Рекуперант альфа М")+$AB$19+$AB$20-1)*$D$34,0)</f>
        <v>0</v>
      </c>
      <c r="X21" s="1213">
        <f>IF(Стимуляторы!K3="Рекуперант альфа М",0.5^(COUNTIF(Стимуляторы!$E$3:K3,"Рекуперант альфа М")+$AB$19+$AB$20-1)*$D$34,0)</f>
        <v>0</v>
      </c>
      <c r="Y21" s="1213">
        <f>IF(Стимуляторы!L3="Рекуперант альфа М",0.5^(COUNTIF(Стимуляторы!$E$3:L3,"Рекуперант альфа М")+$AB$19+$AB$20-1)*$D$34,0)</f>
        <v>0</v>
      </c>
      <c r="Z21" s="1213">
        <f>IF(Стимуляторы!M3="Рекуперант альфа М",0.5^(COUNTIF(Стимуляторы!$E$3:M3,"Рекуперант альфа М")+$AB$19+$AB$20-1)*$D$34,0)</f>
        <v>0</v>
      </c>
      <c r="AA21" s="1213">
        <f>IF(Стимуляторы!N3="Рекуперант альфа М",0.5^(COUNTIF(Стимуляторы!$E$3:N3,"Рекуперант альфа М")+$AB$19+$AB$20-1)*$D$34,0)</f>
        <v>0</v>
      </c>
      <c r="AB21" s="1205">
        <f t="shared" si="8"/>
        <v>0</v>
      </c>
      <c r="AC21" s="1209" t="s">
        <v>777</v>
      </c>
      <c r="AD21" s="1199">
        <f>IF(Стимуляторы!E3="Рекуперант альфа М",0.5^(COUNTIF(Стимуляторы!$E$3,"Рекуперант альфа М")+AN19+AN20-1)*$F$34,0)</f>
        <v>0</v>
      </c>
      <c r="AE21" s="1199">
        <f>IF(Стимуляторы!F3="Рекуперант альфа М",0.5^(COUNTIF(Стимуляторы!$E$3:F3,"Рекуперант альфа М")+$AN$19+$AN$20-1)*$F$34,0)</f>
        <v>0</v>
      </c>
      <c r="AF21" s="1199">
        <f>IF(Стимуляторы!G3="Рекуперант альфа М",0.5^(COUNTIF(Стимуляторы!$E$3:G3,"Рекуперант альфа М")+$AN$19+$AN$20-1)*$F$34,0)</f>
        <v>0</v>
      </c>
      <c r="AG21" s="1199">
        <f>IF(Стимуляторы!H3="Рекуперант альфа М",0.5^(COUNTIF(Стимуляторы!$E$3:H3,"Рекуперант альфа М")+$AN$19+$AN$20-1)*$F$34,0)</f>
        <v>0</v>
      </c>
      <c r="AH21" s="1199">
        <f>IF(Стимуляторы!I3="Рекуперант альфа М",0.5^(COUNTIF(Стимуляторы!$E$3:I3,"Рекуперант альфа М")+$AN$19+$AN$20-1)*$F$34,0)</f>
        <v>0</v>
      </c>
      <c r="AI21" s="1199">
        <f>IF(Стимуляторы!J3="Рекуперант альфа М",0.5^(COUNTIF(Стимуляторы!$E$3:J3,"Рекуперант альфа М")+$AN$19+$AN$20-1)*$F$34,0)</f>
        <v>0</v>
      </c>
      <c r="AJ21" s="1199">
        <f>IF(Стимуляторы!K3="Рекуперант альфа М",0.5^(COUNTIF(Стимуляторы!$E$3:K3,"Рекуперант альфа М")+$AN$19+$AN$20-1)*$F$34,0)</f>
        <v>0</v>
      </c>
      <c r="AK21" s="1199">
        <f>IF(Стимуляторы!L3="Рекуперант альфа М",0.5^(COUNTIF(Стимуляторы!$E$3:L3,"Рекуперант альфа М")+$AN$19+$AN$20-1)*$F$34,0)</f>
        <v>0</v>
      </c>
      <c r="AL21" s="1199">
        <f>IF(Стимуляторы!M3="Рекуперант альфа М",0.5^(COUNTIF(Стимуляторы!$E$3:M3,"Рекуперант альфа М")+$AN$19+$AN$20-1)*$F$34,0)</f>
        <v>0</v>
      </c>
      <c r="AM21" s="1199">
        <f>IF(Стимуляторы!N3="Рекуперант альфа М",0.5^(COUNTIF(Стимуляторы!$E$3:N3,"Рекуперант альфа М")+$AN$19+$AN$20-1)*$F$34,0)</f>
        <v>0</v>
      </c>
      <c r="AN21" s="1188">
        <f t="shared" si="9"/>
        <v>0</v>
      </c>
      <c r="AO21" s="1204"/>
      <c r="AP21" s="1172"/>
      <c r="AQ21" s="1172"/>
      <c r="AR21" s="1172"/>
      <c r="AS21" s="1172"/>
      <c r="AT21" s="1172"/>
      <c r="AU21" s="1172"/>
      <c r="AV21" s="1172"/>
      <c r="AW21" s="1172"/>
      <c r="AX21" s="1172"/>
      <c r="AY21" s="1172"/>
      <c r="AZ21" s="1205"/>
    </row>
    <row r="22" spans="1:52" ht="33" customHeight="1" thickBot="1" x14ac:dyDescent="0.3">
      <c r="A22" s="1137" t="s">
        <v>491</v>
      </c>
      <c r="B22" s="1118"/>
      <c r="C22" s="1119" t="s">
        <v>71</v>
      </c>
      <c r="D22" s="1120">
        <v>0.1</v>
      </c>
      <c r="E22" s="1119"/>
      <c r="F22" s="1121"/>
      <c r="G22" s="1119"/>
      <c r="H22" s="1121"/>
      <c r="I22" s="1119"/>
      <c r="J22" s="1121"/>
      <c r="K22" s="1119"/>
      <c r="L22" s="1121"/>
      <c r="M22" s="1119" t="s">
        <v>333</v>
      </c>
      <c r="N22" s="1141">
        <v>5</v>
      </c>
      <c r="P22" s="1218" t="s">
        <v>487</v>
      </c>
      <c r="Q22" s="1179" t="s">
        <v>760</v>
      </c>
      <c r="R22" s="1219">
        <f>IF(Стимуляторы!$E$3="Рекуперант бета М",0.5^(COUNTIF(Стимуляторы!$E$3,"Рекуперант бета М")+AB19+AB20+AB21-1)*$D$41,0)</f>
        <v>0</v>
      </c>
      <c r="S22" s="1219">
        <f>IF(Стимуляторы!F3="Рекуперант бета М",0.5^(COUNTIF(Стимуляторы!$E$3:F3,"Рекуперант бета М")+$AB$19+$AB$20+$AB$21-1)*$D$41,0)</f>
        <v>0</v>
      </c>
      <c r="T22" s="1219">
        <f>IF(Стимуляторы!G3="Рекуперант бета М",0.5^(COUNTIF(Стимуляторы!$E$3:G3,"Рекуперант бета М")+$AB$19+$AB$20+$AB$21-1)*$D$40,0)</f>
        <v>0</v>
      </c>
      <c r="U22" s="1219">
        <f>IF(Стимуляторы!H3="Рекуперант бета М",0.5^(COUNTIF(Стимуляторы!$E$3:H3,"Рекуперант бета М")+$AB$19+$AB$20+$AB$21-1)*$D$40,0)</f>
        <v>0</v>
      </c>
      <c r="V22" s="1219">
        <f>IF(Стимуляторы!I3="Рекуперант бета М",0.5^(COUNTIF(Стимуляторы!$E$3:I3,"Рекуперант бета М")+$AB$19+$AB$20+$AB$21-1)*$D$40,0)</f>
        <v>0</v>
      </c>
      <c r="W22" s="1219">
        <f>IF(Стимуляторы!J3="Рекуперант бета М",0.5^(COUNTIF(Стимуляторы!$E$3:J3,"Рекуперант бета М")+$AB$19+$AB$20+$AB$21-1)*$D$40,0)</f>
        <v>0</v>
      </c>
      <c r="X22" s="1219">
        <f>IF(Стимуляторы!K3="Рекуперант бета М",0.5^(COUNTIF(Стимуляторы!$E$3:K3,"Рекуперант бета М")+$AB$19+$AB$20+$AB$21-1)*$D$40,0)</f>
        <v>0</v>
      </c>
      <c r="Y22" s="1219">
        <f>IF(Стимуляторы!L3="Рекуперант бета М",0.5^(COUNTIF(Стимуляторы!$E$3:L3,"Рекуперант бета М")+$AB$19+$AB$20+$AB$21-1)*$D$40,0)</f>
        <v>0</v>
      </c>
      <c r="Z22" s="1219">
        <f>IF(Стимуляторы!M3="Рекуперант бета М",0.5^(COUNTIF(Стимуляторы!$E$3:M3,"Рекуперант бета М")+$AB$19+$AB$20+$AB$21-1)*$D$40,0)</f>
        <v>0</v>
      </c>
      <c r="AA22" s="1219">
        <f>IF(Стимуляторы!N3="Рекуперант бета М",0.5^(COUNTIF(Стимуляторы!$E$3:N3,"Рекуперант бета М")+$AB$19+$AB$20+$AB$21-1)*$D$40,0)</f>
        <v>0</v>
      </c>
      <c r="AB22" s="1220">
        <f t="shared" si="8"/>
        <v>0</v>
      </c>
      <c r="AC22" s="1215" t="s">
        <v>777</v>
      </c>
      <c r="AD22" s="1200">
        <f>IF(Стимуляторы!$E$3="Рекуперант бета М",0.5^(COUNTIF(Стимуляторы!$E$3,"Рекуперант бета М")+AN19+AN20+AN21-1)*$F$41,0)</f>
        <v>0</v>
      </c>
      <c r="AE22" s="1200">
        <f>IF(Стимуляторы!F3="Рекуперант бета М",0.5^(COUNTIF(Стимуляторы!$E$3:F3,"Рекуперант бета М")+$AN$19+$AN$20+$AN$21-1)*$F$41,0)</f>
        <v>0</v>
      </c>
      <c r="AF22" s="1200">
        <f>IF(Стимуляторы!G3="Рекуперант бета М",0.5^(COUNTIF(Стимуляторы!$E$3:G3,"Рекуперант бета М")+$AN$19+$AN$20+$AN$21-1)*$F$41,0)</f>
        <v>0</v>
      </c>
      <c r="AG22" s="1200">
        <f>IF(Стимуляторы!H3="Рекуперант бета М",0.5^(COUNTIF(Стимуляторы!$E$3:H3,"Рекуперант бета М")+$AN$19+$AN$20+$AN$21-1)*$F$41,0)</f>
        <v>0</v>
      </c>
      <c r="AH22" s="1200">
        <f>IF(Стимуляторы!I3="Рекуперант бета М",0.5^(COUNTIF(Стимуляторы!$E$3:I3,"Рекуперант бета М")+$AN$19+$AN$20+$AN$21-1)*$F$41,0)</f>
        <v>0</v>
      </c>
      <c r="AI22" s="1200">
        <f>IF(Стимуляторы!J3="Рекуперант бета М",0.5^(COUNTIF(Стимуляторы!$E$3:J3,"Рекуперант бета М")+$AN$19+$AN$20+$AN$21-1)*$F$41,0)</f>
        <v>0</v>
      </c>
      <c r="AJ22" s="1200">
        <f>IF(Стимуляторы!K3="Рекуперант бета М",0.5^(COUNTIF(Стимуляторы!$E$3:K3,"Рекуперант бета М")+$AN$19+$AN$20+$AN$21-1)*$F$41,0)</f>
        <v>0</v>
      </c>
      <c r="AK22" s="1200">
        <f>IF(Стимуляторы!L3="Рекуперант бета М",0.5^(COUNTIF(Стимуляторы!$E$3:L3,"Рекуперант бета М")+$AN$19+$AN$20+$AN$21-1)*$F$41,0)</f>
        <v>0</v>
      </c>
      <c r="AL22" s="1200">
        <f>IF(Стимуляторы!M3="Рекуперант бета М",0.5^(COUNTIF(Стимуляторы!$E$3:M3,"Рекуперант бета М")+$AN$19+$AN$20+$AN$21-1)*$F$41,0)</f>
        <v>0</v>
      </c>
      <c r="AM22" s="1200">
        <f>IF(Стимуляторы!N3="Рекуперант бета М",0.5^(COUNTIF(Стимуляторы!$E$3:N3,"Рекуперант бета М")+$AN$19+$AN$20+$AN$21-1)*$F$41,0)</f>
        <v>0</v>
      </c>
      <c r="AN22" s="1188">
        <f t="shared" si="9"/>
        <v>0</v>
      </c>
      <c r="AO22" s="1206"/>
      <c r="AP22" s="1207"/>
      <c r="AQ22" s="1207"/>
      <c r="AR22" s="1207"/>
      <c r="AS22" s="1207"/>
      <c r="AT22" s="1207"/>
      <c r="AU22" s="1207"/>
      <c r="AV22" s="1207"/>
      <c r="AW22" s="1207"/>
      <c r="AX22" s="1207"/>
      <c r="AY22" s="1207"/>
      <c r="AZ22" s="1208"/>
    </row>
    <row r="23" spans="1:52" ht="33" customHeight="1" thickBot="1" x14ac:dyDescent="0.3">
      <c r="A23" s="797"/>
      <c r="D23" s="1085"/>
      <c r="P23" s="1175"/>
      <c r="Q23" s="1169"/>
      <c r="R23" s="1176"/>
      <c r="S23" s="1176"/>
      <c r="T23" s="1176"/>
      <c r="U23" s="1176"/>
      <c r="V23" s="1176"/>
      <c r="W23" s="1176"/>
      <c r="X23" s="1176"/>
      <c r="Y23" s="1176"/>
      <c r="Z23" s="1176"/>
      <c r="AA23" s="1176"/>
      <c r="AB23" s="1189"/>
      <c r="AC23" s="1182"/>
      <c r="AD23" s="1176"/>
      <c r="AE23" s="1176"/>
      <c r="AF23" s="1176"/>
      <c r="AG23" s="1176"/>
      <c r="AH23" s="1176"/>
      <c r="AI23" s="1176"/>
      <c r="AJ23" s="1176"/>
      <c r="AK23" s="1176"/>
      <c r="AL23" s="1176"/>
      <c r="AM23" s="1176"/>
      <c r="AN23" s="1189"/>
      <c r="AO23" s="1209"/>
      <c r="AP23" s="1172"/>
      <c r="AQ23" s="1172"/>
      <c r="AR23" s="1172"/>
      <c r="AS23" s="1172"/>
      <c r="AT23" s="1172"/>
      <c r="AU23" s="1172"/>
      <c r="AV23" s="1172"/>
      <c r="AW23" s="1172"/>
      <c r="AX23" s="1172"/>
      <c r="AY23" s="1172"/>
      <c r="AZ23" s="1199"/>
    </row>
    <row r="24" spans="1:52" ht="33" customHeight="1" x14ac:dyDescent="0.25">
      <c r="A24" s="1138" t="s">
        <v>388</v>
      </c>
      <c r="B24" s="1127"/>
      <c r="C24" s="1128" t="s">
        <v>278</v>
      </c>
      <c r="D24" s="1129">
        <v>0.2</v>
      </c>
      <c r="E24" s="1130" t="s">
        <v>773</v>
      </c>
      <c r="F24" s="1131">
        <v>30</v>
      </c>
      <c r="G24" s="1128"/>
      <c r="H24" s="1131"/>
      <c r="I24" s="1128"/>
      <c r="J24" s="1131"/>
      <c r="K24" s="1128"/>
      <c r="L24" s="1131"/>
      <c r="M24" s="1128" t="s">
        <v>333</v>
      </c>
      <c r="N24" s="1143">
        <v>5</v>
      </c>
      <c r="P24" s="1183" t="s">
        <v>488</v>
      </c>
      <c r="Q24" s="1178" t="s">
        <v>601</v>
      </c>
      <c r="R24" s="1172">
        <f>IF(Стимуляторы!E3="Репульсин альфа",0.5^(COUNTIF(Стимуляторы!$E$3,"Репульсин альфа")-1)*$D$21,0)</f>
        <v>0</v>
      </c>
      <c r="S24" s="1172">
        <f>IF(Стимуляторы!F3="Репульсин альфа",0.5^(COUNTIF(Стимуляторы!$E$3:F3,"Репульсин альфа")-1)*$D$21,0)</f>
        <v>0</v>
      </c>
      <c r="T24" s="1172">
        <f>IF(Стимуляторы!G3="Репульсин альфа",0.5^(COUNTIF(Стимуляторы!$E$3:G3,"Репульсин альфа")-1)*$D$21,0)</f>
        <v>0</v>
      </c>
      <c r="U24" s="1172">
        <f>IF(Стимуляторы!H3="Репульсин альфа",0.5^(COUNTIF(Стимуляторы!$E$3:H3,"Репульсин альфа")-1)*$D$21,0)</f>
        <v>0</v>
      </c>
      <c r="V24" s="1172">
        <f>IF(Стимуляторы!I3="Репульсин альфа",0.5^(COUNTIF(Стимуляторы!$E$3:I3,"Репульсин альфа")-1)*$D$21,0)</f>
        <v>0</v>
      </c>
      <c r="W24" s="1172">
        <f>IF(Стимуляторы!J3="Репульсин альфа",0.5^(COUNTIF(Стимуляторы!$E$3:J3,"Репульсин альфа")-1)*$D$21,0)</f>
        <v>0</v>
      </c>
      <c r="X24" s="1172">
        <f>IF(Стимуляторы!K3="Репульсин альфа",0.5^(COUNTIF(Стимуляторы!$E$3:K3,"Репульсин альфа")-1)*$D$21,0)</f>
        <v>0</v>
      </c>
      <c r="Y24" s="1172">
        <f>IF(Стимуляторы!L3="Репульсин альфа",0.5^(COUNTIF(Стимуляторы!$E$3:L3,"Репульсин альфа")-1)*$D$21,0)</f>
        <v>0</v>
      </c>
      <c r="Z24" s="1172">
        <f>IF(Стимуляторы!M3="Репульсин альфа",0.5^(COUNTIF(Стимуляторы!$E$3:M3,"Репульсин альфа")-1)*$D$21,0)</f>
        <v>0</v>
      </c>
      <c r="AA24" s="1172">
        <f>IF(Стимуляторы!N3="Репульсин альфа",0.5^(COUNTIF(Стимуляторы!$E$3:N3,"Репульсин альфа")-1)*$D$21,0)</f>
        <v>0</v>
      </c>
      <c r="AB24" s="1191">
        <f t="shared" ref="AB24:AB32" si="10">COUNTIF(R24:AA24,"&gt;0")</f>
        <v>0</v>
      </c>
      <c r="AC24" s="1171" t="s">
        <v>119</v>
      </c>
      <c r="AD24" s="1199">
        <f>IF(Стимуляторы!E3="Репульсин альфа",0.5^(COUNTIF(Стимуляторы!$E$3:E3,"Репульсин альфа")-1)*$F$21,0)</f>
        <v>0</v>
      </c>
      <c r="AE24" s="1199">
        <f>IF(Стимуляторы!F3="Репульсин альфа",0.5^(COUNTIF(Стимуляторы!$E$3:F3,"Репульсин альфа")-1)*$F$21,0)</f>
        <v>0</v>
      </c>
      <c r="AF24" s="1199">
        <f>IF(Стимуляторы!G3="Репульсин альфа",0.5^(COUNTIF(Стимуляторы!$E$3:G3,"Репульсин альфа")-1)*$F$21,0)</f>
        <v>0</v>
      </c>
      <c r="AG24" s="1199">
        <f>IF(Стимуляторы!H3="Репульсин альфа",0.5^(COUNTIF(Стимуляторы!$E$3:H3,"Репульсин альфа")-1)*$F$21,0)</f>
        <v>0</v>
      </c>
      <c r="AH24" s="1199">
        <f>IF(Стимуляторы!I3="Репульсин альфа",0.5^(COUNTIF(Стимуляторы!$E$3:I3,"Репульсин альфа")-1)*$F$21,0)</f>
        <v>0</v>
      </c>
      <c r="AI24" s="1199">
        <f>IF(Стимуляторы!J3="Репульсин альфа",0.5^(COUNTIF(Стимуляторы!$E$3:J3,"Репульсин альфа")-1)*$F$21,0)</f>
        <v>0</v>
      </c>
      <c r="AJ24" s="1199">
        <f>IF(Стимуляторы!K3="Репульсин альфа",0.5^(COUNTIF(Стимуляторы!$E$3:K3,"Репульсин альфа")-1)*$F$21,0)</f>
        <v>0</v>
      </c>
      <c r="AK24" s="1199">
        <f>IF(Стимуляторы!L3="Репульсин альфа",0.5^(COUNTIF(Стимуляторы!$E$3:L3,"Репульсин альфа")-1)*$F$21,0)</f>
        <v>0</v>
      </c>
      <c r="AL24" s="1199">
        <f>IF(Стимуляторы!M3="Репульсин альфа",0.5^(COUNTIF(Стимуляторы!$E$3:M3,"Репульсин альфа")-1)*$F$21,0)</f>
        <v>0</v>
      </c>
      <c r="AM24" s="1199">
        <f>IF(Стимуляторы!N3="Репульсин альфа",0.5^(COUNTIF(Стимуляторы!$E$3:N3,"Репульсин альфа")-1)*$F$21,0)</f>
        <v>0</v>
      </c>
      <c r="AN24" s="1191">
        <f t="shared" si="9"/>
        <v>0</v>
      </c>
      <c r="AO24" s="1209"/>
      <c r="AP24" s="1172"/>
      <c r="AQ24" s="1172"/>
      <c r="AR24" s="1172"/>
      <c r="AS24" s="1172"/>
      <c r="AT24" s="1172"/>
      <c r="AU24" s="1172"/>
      <c r="AV24" s="1172"/>
      <c r="AW24" s="1172"/>
      <c r="AX24" s="1172"/>
      <c r="AY24" s="1172"/>
      <c r="AZ24" s="1199"/>
    </row>
    <row r="25" spans="1:52" ht="33" customHeight="1" x14ac:dyDescent="0.25">
      <c r="A25" s="799" t="s">
        <v>480</v>
      </c>
      <c r="B25" s="1122"/>
      <c r="C25" s="800" t="s">
        <v>31</v>
      </c>
      <c r="D25" s="1123">
        <v>0.12</v>
      </c>
      <c r="E25" s="93"/>
      <c r="F25" s="1124"/>
      <c r="G25" s="93"/>
      <c r="H25" s="1124"/>
      <c r="I25" s="93"/>
      <c r="J25" s="1124"/>
      <c r="K25" s="93"/>
      <c r="L25" s="1124"/>
      <c r="M25" s="93" t="s">
        <v>333</v>
      </c>
      <c r="N25" s="1144">
        <v>5</v>
      </c>
      <c r="P25" s="1183" t="s">
        <v>431</v>
      </c>
      <c r="Q25" s="1178" t="s">
        <v>601</v>
      </c>
      <c r="R25" s="1172">
        <f>IF(Стимуляторы!$E$3="Репульсин бета",0.5^(COUNTIF(Стимуляторы!$E$3,"Репульсин бета")+AB24-1)*$D$28,0)</f>
        <v>0</v>
      </c>
      <c r="S25" s="1172">
        <f>IF(Стимуляторы!F3="Репульсин бета",0.5^(COUNTIF(Стимуляторы!$E$3:F3,"Репульсин бета")+$AB$24-1)*$D$28,0)</f>
        <v>0</v>
      </c>
      <c r="T25" s="1172">
        <f>IF(Стимуляторы!G3="Репульсин бета",0.5^(COUNTIF(Стимуляторы!$E$3:G3,"Репульсин бета")+$AB$24-1)*$D$28,0)</f>
        <v>0</v>
      </c>
      <c r="U25" s="1172">
        <f>IF(Стимуляторы!H3="Репульсин бета",0.5^(COUNTIF(Стимуляторы!$E$3:H3,"Репульсин бета")+$AB$24-1)*$D$28,0)</f>
        <v>0</v>
      </c>
      <c r="V25" s="1172">
        <f>IF(Стимуляторы!I3="Репульсин бета",0.5^(COUNTIF(Стимуляторы!$E$3:I3,"Репульсин бета")+$AB$24-1)*$D$28,0)</f>
        <v>0</v>
      </c>
      <c r="W25" s="1172">
        <f>IF(Стимуляторы!J3="Репульсин бета",0.5^(COUNTIF(Стимуляторы!$E$3:J3,"Репульсин бета")+$AB$24-1)*$D$28,0)</f>
        <v>0</v>
      </c>
      <c r="X25" s="1172">
        <f>IF(Стимуляторы!K3="Репульсин бета",0.5^(COUNTIF(Стимуляторы!$E$3:K3,"Репульсин бета")+$AB$24-1)*$D$28,0)</f>
        <v>0</v>
      </c>
      <c r="Y25" s="1172">
        <f>IF(Стимуляторы!L3="Репульсин бета",0.5^(COUNTIF(Стимуляторы!$E$3:L3,"Репульсин бета")+$AB$24-1)*$D$28,0)</f>
        <v>0</v>
      </c>
      <c r="Z25" s="1172">
        <f>IF(Стимуляторы!M3="Репульсин бета",0.5^(COUNTIF(Стимуляторы!$E$3:M3,"Репульсин бета")+$AB$24-1)*$D$28,0)</f>
        <v>0</v>
      </c>
      <c r="AA25" s="1172">
        <f>IF(Стимуляторы!N3="Репульсин бета",0.5^(COUNTIF(Стимуляторы!$E$3:N3,"Репульсин бета")+$AB$24-1)*$D$28,0)</f>
        <v>0</v>
      </c>
      <c r="AB25" s="1191">
        <f t="shared" si="10"/>
        <v>0</v>
      </c>
      <c r="AC25" s="1171" t="s">
        <v>119</v>
      </c>
      <c r="AD25" s="1199">
        <f>IF(Стимуляторы!E3="Репульсин бета",0.5^(COUNTIF(Стимуляторы!$E$3:E3,"Репульсин бета")+$AN$24-1)*$F$28,0)</f>
        <v>0</v>
      </c>
      <c r="AE25" s="1199">
        <f>IF(Стимуляторы!F3="Репульсин бета",0.5^(COUNTIF(Стимуляторы!$E$3:F3,"Репульсин бета")+$AN$24-1)*$F$28,0)</f>
        <v>0</v>
      </c>
      <c r="AF25" s="1199">
        <f>IF(Стимуляторы!G3="Репульсин бета",0.5^(COUNTIF(Стимуляторы!$E$3:G3,"Репульсин бета")+$AN$24-1)*$F$28,0)</f>
        <v>0</v>
      </c>
      <c r="AG25" s="1199">
        <f>IF(Стимуляторы!H3="Репульсин бета",0.5^(COUNTIF(Стимуляторы!$E$3:H3,"Репульсин бета")+$AN$24-1)*$F$28,0)</f>
        <v>0</v>
      </c>
      <c r="AH25" s="1199">
        <f>IF(Стимуляторы!I3="Репульсин бета",0.5^(COUNTIF(Стимуляторы!$E$3:I3,"Репульсин бета")+$AN$24-1)*$F$28,0)</f>
        <v>0</v>
      </c>
      <c r="AI25" s="1199">
        <f>IF(Стимуляторы!J3="Репульсин бета",0.5^(COUNTIF(Стимуляторы!$E$3:J3,"Репульсин бета")+$AN$24-1)*$F$28,0)</f>
        <v>0</v>
      </c>
      <c r="AJ25" s="1199">
        <f>IF(Стимуляторы!K3="Репульсин бета",0.5^(COUNTIF(Стимуляторы!$E$3:K3,"Репульсин бета")+$AN$24-1)*$F$28,0)</f>
        <v>0</v>
      </c>
      <c r="AK25" s="1199">
        <f>IF(Стимуляторы!L3="Репульсин бета",0.5^(COUNTIF(Стимуляторы!$E$3:L3,"Репульсин бета")+$AN$24-1)*$F$28,0)</f>
        <v>0</v>
      </c>
      <c r="AL25" s="1199">
        <f>IF(Стимуляторы!M3="Репульсин бета",0.5^(COUNTIF(Стимуляторы!$E$3:M3,"Репульсин бета")+$AN$24-1)*$F$28,0)</f>
        <v>0</v>
      </c>
      <c r="AM25" s="1199">
        <f>IF(Стимуляторы!N3="Репульсин бета",0.5^(COUNTIF(Стимуляторы!$E$3:N3,"Репульсин бета")+$AN$24-1)*$F$28,0)</f>
        <v>0</v>
      </c>
      <c r="AN25" s="1191">
        <f t="shared" si="9"/>
        <v>0</v>
      </c>
      <c r="AO25" s="1209"/>
      <c r="AP25" s="1172"/>
      <c r="AQ25" s="1172"/>
      <c r="AR25" s="1172"/>
      <c r="AS25" s="1172"/>
      <c r="AT25" s="1172"/>
      <c r="AU25" s="1172"/>
      <c r="AV25" s="1172"/>
      <c r="AW25" s="1172"/>
      <c r="AX25" s="1172"/>
      <c r="AY25" s="1172"/>
      <c r="AZ25" s="1199"/>
    </row>
    <row r="26" spans="1:52" ht="33" customHeight="1" x14ac:dyDescent="0.25">
      <c r="A26" s="799" t="s">
        <v>482</v>
      </c>
      <c r="B26" s="1122"/>
      <c r="C26" s="93" t="s">
        <v>69</v>
      </c>
      <c r="D26" s="1123">
        <v>0.12</v>
      </c>
      <c r="E26" s="800" t="s">
        <v>774</v>
      </c>
      <c r="F26" s="1123">
        <v>0.12</v>
      </c>
      <c r="G26" s="1126" t="s">
        <v>776</v>
      </c>
      <c r="H26" s="1123">
        <v>0.12</v>
      </c>
      <c r="I26" s="93"/>
      <c r="J26" s="1124"/>
      <c r="K26" s="93"/>
      <c r="L26" s="1124"/>
      <c r="M26" s="93" t="s">
        <v>333</v>
      </c>
      <c r="N26" s="1144">
        <v>4</v>
      </c>
      <c r="P26" s="1183" t="s">
        <v>489</v>
      </c>
      <c r="Q26" s="1178" t="s">
        <v>601</v>
      </c>
      <c r="R26" s="1172">
        <f>IF(Стимуляторы!E3="Репульсин альфа М",0.5^(COUNTIF(Стимуляторы!$E$3,"Репульсин альфа М")+AB24+AB25-1)*$D$35,0)</f>
        <v>0</v>
      </c>
      <c r="S26" s="1172">
        <f>IF(Стимуляторы!F3="Репульсин альфа М",0.5^(COUNTIF(Стимуляторы!$E$3:F3,"Репульсин альфа М")+$AB$24+$AB$25-1)*$D$35,0)</f>
        <v>0</v>
      </c>
      <c r="T26" s="1172">
        <f>IF(Стимуляторы!G3="Репульсин альфа М",0.5^(COUNTIF(Стимуляторы!$E$3:G3,"Репульсин альфа М")+$AB$24+$AB$25-1)*$D$35,0)</f>
        <v>0</v>
      </c>
      <c r="U26" s="1172">
        <f>IF(Стимуляторы!H3="Репульсин альфа М",0.5^(COUNTIF(Стимуляторы!$E$3:H3,"Репульсин альфа М")+$AB$24+$AB$25-1)*$D$35,0)</f>
        <v>0</v>
      </c>
      <c r="V26" s="1172">
        <f>IF(Стимуляторы!I3="Репульсин альфа М",0.5^(COUNTIF(Стимуляторы!$E$3:I3,"Репульсин альфа М")+$AB$24+$AB$25-1)*$D$35,0)</f>
        <v>0</v>
      </c>
      <c r="W26" s="1172">
        <f>IF(Стимуляторы!J3="Репульсин альфа М",0.5^(COUNTIF(Стимуляторы!$E$3:J3,"Репульсин альфа М")+$AB$24+$AB$25-1)*$D$35,0)</f>
        <v>0</v>
      </c>
      <c r="X26" s="1172">
        <f>IF(Стимуляторы!K3="Репульсин альфа М",0.5^(COUNTIF(Стимуляторы!$E$3:K3,"Репульсин альфа М")+$AB$24+$AB$25-1)*$D$35,0)</f>
        <v>0</v>
      </c>
      <c r="Y26" s="1172">
        <f>IF(Стимуляторы!L3="Репульсин альфа М",0.5^(COUNTIF(Стимуляторы!$E$3:L3,"Репульсин альфа М")+$AB$24+$AB$25-1)*$D$35,0)</f>
        <v>0</v>
      </c>
      <c r="Z26" s="1172">
        <f>IF(Стимуляторы!M3="Репульсин альфа М",0.5^(COUNTIF(Стимуляторы!$E$3:M3,"Репульсин альфа М")+$AB$24+$AB$25-1)*$D$35,0)</f>
        <v>0</v>
      </c>
      <c r="AA26" s="1172">
        <f>IF(Стимуляторы!N3="Репульсин альфа М",0.5^(COUNTIF(Стимуляторы!$E$3:N3,"Репульсин альфа М")+$AB$24+$AB$25-1)*$D$35,0)</f>
        <v>0</v>
      </c>
      <c r="AB26" s="1191">
        <f t="shared" si="10"/>
        <v>0</v>
      </c>
      <c r="AC26" s="1171" t="s">
        <v>119</v>
      </c>
      <c r="AD26" s="1199">
        <f>IF(Стимуляторы!E3="Репульсин альфа М",0.5^(COUNTIF(Стимуляторы!$E$3:E3,"Репульсин альфа М")+$AN$24+$AN$25-1)*$F$35,0)</f>
        <v>0</v>
      </c>
      <c r="AE26" s="1199">
        <f>IF(Стимуляторы!F3="Репульсин альфа М",0.5^(COUNTIF(Стимуляторы!$E$3:F3,"Репульсин альфа М")+$AN$24+$AN$25-1)*$F$35,0)</f>
        <v>0</v>
      </c>
      <c r="AF26" s="1199">
        <f>IF(Стимуляторы!G3="Репульсин альфа М",0.5^(COUNTIF(Стимуляторы!$E$3:G3,"Репульсин альфа М")+$AN$24+$AN$25-1)*$F$35,0)</f>
        <v>0</v>
      </c>
      <c r="AG26" s="1199">
        <f>IF(Стимуляторы!H3="Репульсин альфа М",0.5^(COUNTIF(Стимуляторы!$E$3:H3,"Репульсин альфа М")+$AN$24+$AN$25-1)*$F$35,0)</f>
        <v>0</v>
      </c>
      <c r="AH26" s="1199">
        <f>IF(Стимуляторы!I3="Репульсин альфа М",0.5^(COUNTIF(Стимуляторы!$E$3:I3,"Репульсин альфа М")+$AN$24+$AN$25-1)*$F$35,0)</f>
        <v>0</v>
      </c>
      <c r="AI26" s="1199">
        <f>IF(Стимуляторы!J3="Репульсин альфа М",0.5^(COUNTIF(Стимуляторы!$E$3:J3,"Репульсин альфа М")+$AN$24+$AN$25-1)*$F$35,0)</f>
        <v>0</v>
      </c>
      <c r="AJ26" s="1199">
        <f>IF(Стимуляторы!K3="Репульсин альфа М",0.5^(COUNTIF(Стимуляторы!$E$3:K3,"Репульсин альфа М")+$AN$24+$AN$25-1)*$F$35,0)</f>
        <v>0</v>
      </c>
      <c r="AK26" s="1199">
        <f>IF(Стимуляторы!L3="Репульсин альфа М",0.5^(COUNTIF(Стимуляторы!$E$3:L3,"Репульсин альфа М")+$AN$24+$AN$25-1)*$F$35,0)</f>
        <v>0</v>
      </c>
      <c r="AL26" s="1199">
        <f>IF(Стимуляторы!M3="Репульсин альфа М",0.5^(COUNTIF(Стимуляторы!$E$3:M3,"Репульсин альфа М")+$AN$24+$AN$25-1)*$F$35,0)</f>
        <v>0</v>
      </c>
      <c r="AM26" s="1199">
        <f>IF(Стимуляторы!N3="Репульсин альфа М",0.5^(COUNTIF(Стимуляторы!$E$3:N3,"Репульсин альфа М")+$AN$24+$AN$25-1)*$F$35,0)</f>
        <v>0</v>
      </c>
      <c r="AN26" s="1191">
        <f t="shared" si="9"/>
        <v>0</v>
      </c>
      <c r="AO26" s="1209"/>
      <c r="AP26" s="1172"/>
      <c r="AQ26" s="1172"/>
      <c r="AR26" s="1172"/>
      <c r="AS26" s="1172"/>
      <c r="AT26" s="1172"/>
      <c r="AU26" s="1172"/>
      <c r="AV26" s="1172"/>
      <c r="AW26" s="1172"/>
      <c r="AX26" s="1172"/>
      <c r="AY26" s="1172"/>
      <c r="AZ26" s="1199"/>
    </row>
    <row r="27" spans="1:52" ht="33" customHeight="1" thickBot="1" x14ac:dyDescent="0.3">
      <c r="A27" s="799" t="s">
        <v>486</v>
      </c>
      <c r="B27" s="1122"/>
      <c r="C27" s="93" t="s">
        <v>760</v>
      </c>
      <c r="D27" s="1123">
        <v>0.11</v>
      </c>
      <c r="E27" s="800" t="s">
        <v>777</v>
      </c>
      <c r="F27" s="1124">
        <v>8</v>
      </c>
      <c r="G27" s="93"/>
      <c r="H27" s="1124"/>
      <c r="I27" s="93"/>
      <c r="J27" s="1124"/>
      <c r="K27" s="93"/>
      <c r="L27" s="1124"/>
      <c r="M27" s="93" t="s">
        <v>333</v>
      </c>
      <c r="N27" s="1144">
        <v>5</v>
      </c>
      <c r="P27" s="1222" t="s">
        <v>490</v>
      </c>
      <c r="Q27" s="1179" t="s">
        <v>601</v>
      </c>
      <c r="R27" s="1174">
        <f>IF(Стимуляторы!$E$3="Рекуперант бета М",0.5^(COUNTIF(Стимуляторы!$E$3,"Рекуперант бета М")+AB24+AB25+AB26-1)*$D$42,0)</f>
        <v>0</v>
      </c>
      <c r="S27" s="1174">
        <f>IF(Стимуляторы!F3="Репульсин бета М",0.5^(COUNTIF(Стимуляторы!$E$3:F3,"Репульсин бета М")+$AB$24+$AB$25+$AB$26-1)*$D$42,0)</f>
        <v>0</v>
      </c>
      <c r="T27" s="1174">
        <f>IF(Стимуляторы!G3="Репульсин бета М",0.5^(COUNTIF(Стимуляторы!$E$3:G3,"Репульсин бета М")+$AB$24+$AB$25+$AB$26-1)*$D$42,0)</f>
        <v>0</v>
      </c>
      <c r="U27" s="1174">
        <f>IF(Стимуляторы!H3="Репульсин бета М",0.5^(COUNTIF(Стимуляторы!$E$3:H3,"Репульсин бета М")+$AB$24+$AB$25+$AB$26-1)*$D$42,0)</f>
        <v>0</v>
      </c>
      <c r="V27" s="1174">
        <f>IF(Стимуляторы!I3="Репульсин бета М",0.5^(COUNTIF(Стимуляторы!$E$3:I3,"Репульсин бета М")+$AB$24+$AB$25+$AB$26-1)*$D$42,0)</f>
        <v>0</v>
      </c>
      <c r="W27" s="1174">
        <f>IF(Стимуляторы!J3="Репульсин бета М",0.5^(COUNTIF(Стимуляторы!$E$3:J3,"Репульсин бета М")+$AB$24+$AB$25+$AB$26-1)*$D$42,0)</f>
        <v>0</v>
      </c>
      <c r="X27" s="1174">
        <f>IF(Стимуляторы!K3="Репульсин бета М",0.5^(COUNTIF(Стимуляторы!$E$3:K3,"Репульсин бета М")+$AB$24+$AB$25+$AB$26-1)*$D$42,0)</f>
        <v>0</v>
      </c>
      <c r="Y27" s="1174">
        <f>IF(Стимуляторы!L3="Репульсин бета М",0.5^(COUNTIF(Стимуляторы!$E$3:L3,"Репульсин бета М")+$AB$24+$AB$25+$AB$26-1)*$D$42,0)</f>
        <v>0</v>
      </c>
      <c r="Z27" s="1174">
        <f>IF(Стимуляторы!M3="Репульсин бета М",0.5^(COUNTIF(Стимуляторы!$E$3:M3,"Репульсин бета М")+$AB$24+$AB$25+$AB$26-1)*$D$42,0)</f>
        <v>0</v>
      </c>
      <c r="AA27" s="1174">
        <f>IF(Стимуляторы!N3="Репульсин бета М",0.5^(COUNTIF(Стимуляторы!$E$3:N3,"Репульсин бета М")+$AB$24+$AB$25+$AB$26-1)*$D$42,0)</f>
        <v>0</v>
      </c>
      <c r="AB27" s="1192">
        <f t="shared" si="10"/>
        <v>0</v>
      </c>
      <c r="AC27" s="1186" t="s">
        <v>119</v>
      </c>
      <c r="AD27" s="1221">
        <f>IF(Стимуляторы!E3="Репульсин бета М",0.5^(COUNTIF(Стимуляторы!$E$3:E3,"Репульсин бета М")+$AN$24+$AN$25+$AN$26-1)*$F$42,0)</f>
        <v>0</v>
      </c>
      <c r="AE27" s="1221">
        <f>IF(Стимуляторы!F3="Репульсин бета М",0.5^(COUNTIF(Стимуляторы!$E$3:F3,"Репульсин бета М")+$AN$24+$AN$25+$AN$26-1)*$F$42,0)</f>
        <v>0</v>
      </c>
      <c r="AF27" s="1221">
        <f>IF(Стимуляторы!G3="Репульсин бета М",0.5^(COUNTIF(Стимуляторы!$E$3:G3,"Репульсин бета М")+$AN$24+$AN$25+$AN$26-1)*$F$42,0)</f>
        <v>0</v>
      </c>
      <c r="AG27" s="1221">
        <f>IF(Стимуляторы!H3="Репульсин бета М",0.5^(COUNTIF(Стимуляторы!$E$3:H3,"Репульсин бета М")+$AN$24+$AN$25+$AN$26-1)*$F$42,0)</f>
        <v>0</v>
      </c>
      <c r="AH27" s="1221">
        <f>IF(Стимуляторы!I3="Репульсин бета М",0.5^(COUNTIF(Стимуляторы!$E$3:I3,"Репульсин бета М")+$AN$24+$AN$25+$AN$26-1)*$F$42,0)</f>
        <v>0</v>
      </c>
      <c r="AI27" s="1221">
        <f>IF(Стимуляторы!J3="Репульсин бета М",0.5^(COUNTIF(Стимуляторы!$E$3:J3,"Репульсин бета М")+$AN$24+$AN$25+$AN$26-1)*$F$42,0)</f>
        <v>0</v>
      </c>
      <c r="AJ27" s="1221">
        <f>IF(Стимуляторы!K3="Репульсин бета М",0.5^(COUNTIF(Стимуляторы!$E$3:K3,"Репульсин бета М")+$AN$24+$AN$25+$AN$26-1)*$F$42,0)</f>
        <v>0</v>
      </c>
      <c r="AK27" s="1221">
        <f>IF(Стимуляторы!L3="Репульсин бета М",0.5^(COUNTIF(Стимуляторы!$E$3:L3,"Репульсин бета М")+$AN$24+$AN$25+$AN$26-1)*$F$42,0)</f>
        <v>0</v>
      </c>
      <c r="AL27" s="1221">
        <f>IF(Стимуляторы!M3="Репульсин бета М",0.5^(COUNTIF(Стимуляторы!$E$3:M3,"Репульсин бета М")+$AN$24+$AN$25+$AN$26-1)*$F$42,0)</f>
        <v>0</v>
      </c>
      <c r="AM27" s="1221">
        <f>IF(Стимуляторы!N3="Репульсин бета М",0.5^(COUNTIF(Стимуляторы!$E$3:N3,"Репульсин бета М")+$AN$24+$AN$25+$AN$26-1)*$F$42,0)</f>
        <v>0</v>
      </c>
      <c r="AN27" s="1155">
        <f t="shared" si="9"/>
        <v>0</v>
      </c>
      <c r="AO27" s="1215"/>
      <c r="AP27" s="1174"/>
      <c r="AQ27" s="1174"/>
      <c r="AR27" s="1174"/>
      <c r="AS27" s="1174"/>
      <c r="AT27" s="1174"/>
      <c r="AU27" s="1174"/>
      <c r="AV27" s="1174"/>
      <c r="AW27" s="1174"/>
      <c r="AX27" s="1174"/>
      <c r="AY27" s="1174"/>
      <c r="AZ27" s="1200"/>
    </row>
    <row r="28" spans="1:52" ht="33" customHeight="1" x14ac:dyDescent="0.25">
      <c r="A28" s="799" t="s">
        <v>431</v>
      </c>
      <c r="B28" s="1122"/>
      <c r="C28" s="800" t="s">
        <v>775</v>
      </c>
      <c r="D28" s="1123">
        <v>0.06</v>
      </c>
      <c r="E28" s="800" t="s">
        <v>119</v>
      </c>
      <c r="F28" s="1124">
        <v>14</v>
      </c>
      <c r="G28" s="93"/>
      <c r="H28" s="1124"/>
      <c r="I28" s="93"/>
      <c r="J28" s="1124"/>
      <c r="K28" s="93"/>
      <c r="L28" s="1124"/>
      <c r="M28" s="93" t="s">
        <v>333</v>
      </c>
      <c r="N28" s="1144">
        <v>5</v>
      </c>
      <c r="P28" s="1175"/>
      <c r="Q28" s="1169"/>
      <c r="R28" s="1176"/>
      <c r="S28" s="1176"/>
      <c r="T28" s="1176"/>
      <c r="U28" s="1176"/>
      <c r="V28" s="1176"/>
      <c r="W28" s="1176"/>
      <c r="X28" s="1176"/>
      <c r="Y28" s="1176"/>
      <c r="Z28" s="1176"/>
      <c r="AA28" s="1176"/>
      <c r="AB28" s="1223"/>
      <c r="AC28" s="1182"/>
      <c r="AD28" s="1176"/>
      <c r="AE28" s="1176"/>
      <c r="AF28" s="1176"/>
      <c r="AG28" s="1176"/>
      <c r="AH28" s="1176"/>
      <c r="AI28" s="1176"/>
      <c r="AJ28" s="1176"/>
      <c r="AK28" s="1176"/>
      <c r="AL28" s="1176"/>
      <c r="AM28" s="1176"/>
      <c r="AN28" s="1216"/>
      <c r="AO28" s="1182"/>
      <c r="AP28" s="1176"/>
      <c r="AQ28" s="1176"/>
      <c r="AR28" s="1176"/>
      <c r="AS28" s="1176"/>
      <c r="AT28" s="1176"/>
      <c r="AU28" s="1176"/>
      <c r="AV28" s="1176"/>
      <c r="AW28" s="1176"/>
      <c r="AX28" s="1176"/>
      <c r="AY28" s="1176"/>
      <c r="AZ28" s="1189"/>
    </row>
    <row r="29" spans="1:52" ht="33" customHeight="1" thickBot="1" x14ac:dyDescent="0.3">
      <c r="A29" s="1139" t="s">
        <v>392</v>
      </c>
      <c r="B29" s="1132"/>
      <c r="C29" s="696" t="s">
        <v>53</v>
      </c>
      <c r="D29" s="1133">
        <v>0.12</v>
      </c>
      <c r="E29" s="696"/>
      <c r="F29" s="1134"/>
      <c r="G29" s="696"/>
      <c r="H29" s="1134"/>
      <c r="I29" s="696"/>
      <c r="J29" s="1134"/>
      <c r="K29" s="696"/>
      <c r="L29" s="1134"/>
      <c r="M29" s="696" t="s">
        <v>333</v>
      </c>
      <c r="N29" s="1142">
        <v>5</v>
      </c>
      <c r="P29" s="1183" t="s">
        <v>491</v>
      </c>
      <c r="Q29" s="1178" t="s">
        <v>53</v>
      </c>
      <c r="R29" s="1172">
        <f>IF(Стимуляторы!E3="Фервепост альфа",0.5^(COUNTIF(Стимуляторы!$E$3:E3,"Фервепост альфа")-1)*$D$22,0)</f>
        <v>0</v>
      </c>
      <c r="S29" s="1172">
        <f>IF(Стимуляторы!F3="Фервепост альфа",0.5^(COUNTIF(Стимуляторы!$E$3:F3,"Фервепост альфа")-1)*$D$22,0)</f>
        <v>0</v>
      </c>
      <c r="T29" s="1172">
        <f>IF(Стимуляторы!G3="Фервепост альфа",0.5^(COUNTIF(Стимуляторы!$E$3:G3,"Фервепост альфа")-1)*$D$22,0)</f>
        <v>0</v>
      </c>
      <c r="U29" s="1172">
        <f>IF(Стимуляторы!H3="Фервепост альфа",0.5^(COUNTIF(Стимуляторы!$E$3:H3,"Фервепост альфа")-1)*$D$22,0)</f>
        <v>0</v>
      </c>
      <c r="V29" s="1172">
        <f>IF(Стимуляторы!I3="Фервепост альфа",0.5^(COUNTIF(Стимуляторы!$E$3:I3,"Фервепост альфа")-1)*$D$22,0)</f>
        <v>0</v>
      </c>
      <c r="W29" s="1172">
        <f>IF(Стимуляторы!J3="Фервепост альфа",0.5^(COUNTIF(Стимуляторы!$E$3:J3,"Фервепост альфа")-1)*$D$22,0)</f>
        <v>0</v>
      </c>
      <c r="X29" s="1172">
        <f>IF(Стимуляторы!K3="Фервепост альфа",0.5^(COUNTIF(Стимуляторы!$E$3:K3,"Фервепост альфа")-1)*$D$22,0)</f>
        <v>0</v>
      </c>
      <c r="Y29" s="1172">
        <f>IF(Стимуляторы!L3="Фервепост альфа",0.5^(COUNTIF(Стимуляторы!$E$3:L3,"Фервепост альфа")-1)*$D$22,0)</f>
        <v>0</v>
      </c>
      <c r="Z29" s="1172">
        <f>IF(Стимуляторы!M3="Фервепост альфа",0.5^(COUNTIF(Стимуляторы!$E$3:M3,"Фервепост альфа")-1)*$D$22,0)</f>
        <v>0</v>
      </c>
      <c r="AA29" s="1172">
        <f>IF(Стимуляторы!N3="Фервепост альфа",0.5^(COUNTIF(Стимуляторы!$E$3:N3,"Фервепост альфа")-1)*$D$22,0)</f>
        <v>0</v>
      </c>
      <c r="AB29" s="1192">
        <f t="shared" si="10"/>
        <v>0</v>
      </c>
      <c r="AC29" s="1171"/>
      <c r="AD29" s="1172"/>
      <c r="AE29" s="1172"/>
      <c r="AF29" s="1172"/>
      <c r="AG29" s="1172"/>
      <c r="AH29" s="1172"/>
      <c r="AI29" s="1172"/>
      <c r="AJ29" s="1172"/>
      <c r="AK29" s="1172"/>
      <c r="AL29" s="1172"/>
      <c r="AM29" s="1172"/>
      <c r="AN29" s="1214"/>
      <c r="AO29" s="1171"/>
      <c r="AP29" s="1172"/>
      <c r="AQ29" s="1172"/>
      <c r="AR29" s="1172"/>
      <c r="AS29" s="1172"/>
      <c r="AT29" s="1172"/>
      <c r="AU29" s="1172"/>
      <c r="AV29" s="1172"/>
      <c r="AW29" s="1172"/>
      <c r="AX29" s="1172"/>
      <c r="AY29" s="1172"/>
      <c r="AZ29" s="1191"/>
    </row>
    <row r="30" spans="1:52" ht="33" customHeight="1" thickBot="1" x14ac:dyDescent="0.3">
      <c r="A30" s="1140"/>
      <c r="B30" s="1117"/>
      <c r="C30" s="1117"/>
      <c r="D30" s="1135"/>
      <c r="E30" s="1117"/>
      <c r="F30" s="1136"/>
      <c r="G30" s="1117"/>
      <c r="H30" s="1136"/>
      <c r="I30" s="1117"/>
      <c r="J30" s="1136"/>
      <c r="K30" s="1117"/>
      <c r="L30" s="1136"/>
      <c r="M30" s="1117"/>
      <c r="N30" s="1136"/>
      <c r="P30" s="1183" t="s">
        <v>392</v>
      </c>
      <c r="Q30" s="1178" t="s">
        <v>53</v>
      </c>
      <c r="R30" s="1172">
        <f>IF(Стимуляторы!E3="Фервепост бета",0.5^(COUNTIF(Стимуляторы!$E$3:E3,"Фервепост бета")+$AB$29-1)*$D$29,0)</f>
        <v>0</v>
      </c>
      <c r="S30" s="1172">
        <f>IF(Стимуляторы!F3="Фервепост бета",0.5^(COUNTIF(Стимуляторы!$E$3:F3,"Фервепост бета")+$AB$29-1)*$D$29,0)</f>
        <v>0</v>
      </c>
      <c r="T30" s="1172">
        <f>IF(Стимуляторы!G3="Фервепост бета",0.5^(COUNTIF(Стимуляторы!$E$3:G3,"Фервепост бета")+$AB$29-1)*$D$29,0)</f>
        <v>0</v>
      </c>
      <c r="U30" s="1172">
        <f>IF(Стимуляторы!H3="Фервепост бета",0.5^(COUNTIF(Стимуляторы!$E$3:H3,"Фервепост бета")+$AB$29-1)*$D$29,0)</f>
        <v>0</v>
      </c>
      <c r="V30" s="1172">
        <f>IF(Стимуляторы!I3="Фервепост бета",0.5^(COUNTIF(Стимуляторы!$E$3:I3,"Фервепост бета")+$AB$29-1)*$D$29,0)</f>
        <v>0</v>
      </c>
      <c r="W30" s="1172">
        <f>IF(Стимуляторы!J3="Фервепост бета",0.5^(COUNTIF(Стимуляторы!$E$3:J3,"Фервепост бета")+$AB$29-1)*$D$29,0)</f>
        <v>0</v>
      </c>
      <c r="X30" s="1172">
        <f>IF(Стимуляторы!K3="Фервепост бета",0.5^(COUNTIF(Стимуляторы!$E$3:K3,"Фервепост бета")+$AB$29-1)*$D$29,0)</f>
        <v>0</v>
      </c>
      <c r="Y30" s="1172">
        <f>IF(Стимуляторы!L3="Фервепост бета",0.5^(COUNTIF(Стимуляторы!$E$3:L3,"Фервепост бета")+$AB$29-1)*$D$29,0)</f>
        <v>0</v>
      </c>
      <c r="Z30" s="1172">
        <f>IF(Стимуляторы!M3="Фервепост бета",0.5^(COUNTIF(Стимуляторы!$E$3:M3,"Фервепост бета")+$AB$29-1)*$D$29,0)</f>
        <v>0</v>
      </c>
      <c r="AA30" s="1172">
        <f>IF(Стимуляторы!N3="Фервепост бета",0.5^(COUNTIF(Стимуляторы!$E$3:N3,"Фервепост бета")+$AB$29-1)*$D$29,0)</f>
        <v>0</v>
      </c>
      <c r="AB30" s="1192">
        <f t="shared" si="10"/>
        <v>0</v>
      </c>
      <c r="AC30" s="1171"/>
      <c r="AD30" s="1172"/>
      <c r="AE30" s="1172"/>
      <c r="AF30" s="1172"/>
      <c r="AG30" s="1172"/>
      <c r="AH30" s="1172"/>
      <c r="AI30" s="1172"/>
      <c r="AJ30" s="1172"/>
      <c r="AK30" s="1172"/>
      <c r="AL30" s="1172"/>
      <c r="AM30" s="1172"/>
      <c r="AN30" s="1214"/>
      <c r="AO30" s="1171"/>
      <c r="AP30" s="1172"/>
      <c r="AQ30" s="1172"/>
      <c r="AR30" s="1172"/>
      <c r="AS30" s="1172"/>
      <c r="AT30" s="1172"/>
      <c r="AU30" s="1172"/>
      <c r="AV30" s="1172"/>
      <c r="AW30" s="1172"/>
      <c r="AX30" s="1172"/>
      <c r="AY30" s="1172"/>
      <c r="AZ30" s="1191"/>
    </row>
    <row r="31" spans="1:52" ht="33" customHeight="1" x14ac:dyDescent="0.25">
      <c r="A31" s="1138" t="s">
        <v>368</v>
      </c>
      <c r="B31" s="1127"/>
      <c r="C31" s="1128" t="s">
        <v>278</v>
      </c>
      <c r="D31" s="1129">
        <v>0.2</v>
      </c>
      <c r="E31" s="1130" t="s">
        <v>773</v>
      </c>
      <c r="F31" s="1131">
        <v>30</v>
      </c>
      <c r="G31" s="1128"/>
      <c r="H31" s="1131"/>
      <c r="I31" s="1128"/>
      <c r="J31" s="1131"/>
      <c r="K31" s="1128"/>
      <c r="L31" s="1131"/>
      <c r="M31" s="1128" t="s">
        <v>333</v>
      </c>
      <c r="N31" s="1143">
        <v>4</v>
      </c>
      <c r="P31" s="1183" t="s">
        <v>492</v>
      </c>
      <c r="Q31" s="1178" t="s">
        <v>53</v>
      </c>
      <c r="R31" s="1172">
        <f>IF(Стимуляторы!E3="Фервепост альфа М",0.5^(COUNTIF(Стимуляторы!$E$3:E3,"Фервепост альфа М")+$AB$29+$AB$30-1)*$D$36,0)</f>
        <v>0</v>
      </c>
      <c r="S31" s="1172">
        <f>IF(Стимуляторы!F3="Фервепост альфа М",0.5^(COUNTIF(Стимуляторы!$E$3:F3,"Фервепост альфа М")+$AB$29+$AB$30-1)*$D$36,0)</f>
        <v>0</v>
      </c>
      <c r="T31" s="1172">
        <f>IF(Стимуляторы!G3="Фервепост альфа М",0.5^(COUNTIF(Стимуляторы!$E$3:G3,"Фервепост альфа М")+$AB$29+$AB$30-1)*$D$36,0)</f>
        <v>0</v>
      </c>
      <c r="U31" s="1172">
        <f>IF(Стимуляторы!H3="Фервепост альфа М",0.5^(COUNTIF(Стимуляторы!$E$3:H3,"Фервепост альфа М")+$AB$29+$AB$30-1)*$D$36,0)</f>
        <v>0</v>
      </c>
      <c r="V31" s="1172">
        <f>IF(Стимуляторы!I3="Фервепост альфа М",0.5^(COUNTIF(Стимуляторы!$E$3:I3,"Фервепост альфа М")+$AB$29+$AB$30-1)*$D$36,0)</f>
        <v>0</v>
      </c>
      <c r="W31" s="1172">
        <f>IF(Стимуляторы!J3="Фервепост альфа М",0.5^(COUNTIF(Стимуляторы!$E$3:J3,"Фервепост альфа М")+$AB$29+$AB$30-1)*$D$36,0)</f>
        <v>0</v>
      </c>
      <c r="X31" s="1172">
        <f>IF(Стимуляторы!K3="Фервепост альфа М",0.5^(COUNTIF(Стимуляторы!$E$3:K3,"Фервепост альфа М")+$AB$29+$AB$30-1)*$D$36,0)</f>
        <v>0</v>
      </c>
      <c r="Y31" s="1172">
        <f>IF(Стимуляторы!L3="Фервепост альфа М",0.5^(COUNTIF(Стимуляторы!$E$3:L3,"Фервепост альфа М")+$AB$29+$AB$30-1)*$D$36,0)</f>
        <v>0</v>
      </c>
      <c r="Z31" s="1172">
        <f>IF(Стимуляторы!M3="Фервепост альфа М",0.5^(COUNTIF(Стимуляторы!$E$3:M3,"Фервепост альфа М")+$AB$29+$AB$30-1)*$D$36,0)</f>
        <v>0</v>
      </c>
      <c r="AA31" s="1172">
        <f>IF(Стимуляторы!N3="Фервепост альфа М",0.5^(COUNTIF(Стимуляторы!$E$3:N3,"Фервепост альфа М")+$AB$29+$AB$30-1)*$D$36,0)</f>
        <v>0</v>
      </c>
      <c r="AB31" s="1192">
        <f t="shared" si="10"/>
        <v>0</v>
      </c>
      <c r="AC31" s="1171"/>
      <c r="AD31" s="1172"/>
      <c r="AE31" s="1172"/>
      <c r="AF31" s="1172"/>
      <c r="AG31" s="1172"/>
      <c r="AH31" s="1172"/>
      <c r="AI31" s="1172"/>
      <c r="AJ31" s="1172"/>
      <c r="AK31" s="1172"/>
      <c r="AL31" s="1172"/>
      <c r="AM31" s="1172"/>
      <c r="AN31" s="1214"/>
      <c r="AO31" s="1171"/>
      <c r="AP31" s="1172"/>
      <c r="AQ31" s="1172"/>
      <c r="AR31" s="1172"/>
      <c r="AS31" s="1172"/>
      <c r="AT31" s="1172"/>
      <c r="AU31" s="1172"/>
      <c r="AV31" s="1172"/>
      <c r="AW31" s="1172"/>
      <c r="AX31" s="1172"/>
      <c r="AY31" s="1172"/>
      <c r="AZ31" s="1191"/>
    </row>
    <row r="32" spans="1:52" ht="33" customHeight="1" thickBot="1" x14ac:dyDescent="0.3">
      <c r="A32" s="799" t="s">
        <v>479</v>
      </c>
      <c r="B32" s="1122"/>
      <c r="C32" s="800" t="s">
        <v>31</v>
      </c>
      <c r="D32" s="1125">
        <v>0.14000000000000001</v>
      </c>
      <c r="E32" s="93"/>
      <c r="F32" s="1124"/>
      <c r="G32" s="93"/>
      <c r="H32" s="1124"/>
      <c r="I32" s="93"/>
      <c r="J32" s="1124"/>
      <c r="K32" s="93"/>
      <c r="L32" s="1124"/>
      <c r="M32" s="93" t="s">
        <v>333</v>
      </c>
      <c r="N32" s="1144">
        <v>4</v>
      </c>
      <c r="P32" s="1184" t="s">
        <v>389</v>
      </c>
      <c r="Q32" s="1185" t="s">
        <v>53</v>
      </c>
      <c r="R32" s="1177">
        <f>IF(Стимуляторы!E3="Фервепост бета М",0.5^(COUNTIF(Стимуляторы!$E$3:E3,"Фервепост бета М")+$AB$29+$AB$30+$AB$31-1)*$D$43,0)</f>
        <v>0</v>
      </c>
      <c r="S32" s="1177">
        <f>IF(Стимуляторы!F3="Фервепост бета М",0.5^(COUNTIF(Стимуляторы!$E$3:F3,"Фервепост бета М")+$AB$29+$AB$30+$AB$31-1)*$D$43,0)</f>
        <v>0</v>
      </c>
      <c r="T32" s="1177">
        <f>IF(Стимуляторы!G3="Фервепост бета М",0.5^(COUNTIF(Стимуляторы!$E$3:G3,"Фервепост бета М")+$AB$29+$AB$30+$AB$31-1)*$D$43,0)</f>
        <v>0</v>
      </c>
      <c r="U32" s="1177">
        <f>IF(Стимуляторы!H3="Фервепост бета М",0.5^(COUNTIF(Стимуляторы!$E$3:H3,"Фервепост бета М")+$AB$29+$AB$30+$AB$31-1)*$D$43,0)</f>
        <v>0</v>
      </c>
      <c r="V32" s="1177">
        <f>IF(Стимуляторы!I3="Фервепост бета М",0.5^(COUNTIF(Стимуляторы!$E$3:I3,"Фервепост бета М")+$AB$29+$AB$30+$AB$31-1)*$D$43,0)</f>
        <v>0</v>
      </c>
      <c r="W32" s="1177">
        <f>IF(Стимуляторы!J3="Фервепост бета М",0.5^(COUNTIF(Стимуляторы!$E$3:J3,"Фервепост бета М")+$AB$29+$AB$30+$AB$31-1)*$D$43,0)</f>
        <v>0</v>
      </c>
      <c r="X32" s="1177">
        <f>IF(Стимуляторы!K3="Фервепост бета М",0.5^(COUNTIF(Стимуляторы!$E$3:K3,"Фервепост бета М")+$AB$29+$AB$30+$AB$31-1)*$D$43,0)</f>
        <v>0</v>
      </c>
      <c r="Y32" s="1177">
        <f>IF(Стимуляторы!L3="Фервепост бета М",0.5^(COUNTIF(Стимуляторы!$E$3:L3,"Фервепост бета М")+$AB$29+$AB$30+$AB$31-1)*$D$43,0)</f>
        <v>0</v>
      </c>
      <c r="Z32" s="1177">
        <f>IF(Стимуляторы!M3="Фервепост бета М",0.5^(COUNTIF(Стимуляторы!$E$3:M3,"Фервепост бета М")+$AB$29+$AB$30+$AB$31-1)*$D$43,0)</f>
        <v>0</v>
      </c>
      <c r="AA32" s="1177">
        <f>IF(Стимуляторы!N3="Фервепост бета М",0.5^(COUNTIF(Стимуляторы!$E$3:N3,"Фервепост бета М")+$AB$29+$AB$30+$AB$31-1)*$D$43,0)</f>
        <v>0</v>
      </c>
      <c r="AB32" s="1155">
        <f t="shared" si="10"/>
        <v>0</v>
      </c>
      <c r="AC32" s="1186"/>
      <c r="AD32" s="1177"/>
      <c r="AE32" s="1177"/>
      <c r="AF32" s="1177"/>
      <c r="AG32" s="1177"/>
      <c r="AH32" s="1177"/>
      <c r="AI32" s="1177"/>
      <c r="AJ32" s="1177"/>
      <c r="AK32" s="1177"/>
      <c r="AL32" s="1177"/>
      <c r="AM32" s="1177"/>
      <c r="AN32" s="1217"/>
      <c r="AO32" s="1186"/>
      <c r="AP32" s="1177"/>
      <c r="AQ32" s="1177"/>
      <c r="AR32" s="1177"/>
      <c r="AS32" s="1177"/>
      <c r="AT32" s="1177"/>
      <c r="AU32" s="1177"/>
      <c r="AV32" s="1177"/>
      <c r="AW32" s="1177"/>
      <c r="AX32" s="1177"/>
      <c r="AY32" s="1177"/>
      <c r="AZ32" s="1155"/>
    </row>
    <row r="33" spans="1:14" ht="33" customHeight="1" x14ac:dyDescent="0.25">
      <c r="A33" s="799" t="s">
        <v>384</v>
      </c>
      <c r="B33" s="1122"/>
      <c r="C33" s="93" t="s">
        <v>69</v>
      </c>
      <c r="D33" s="1123">
        <v>0.12</v>
      </c>
      <c r="E33" s="800" t="s">
        <v>774</v>
      </c>
      <c r="F33" s="1123">
        <v>0.12</v>
      </c>
      <c r="G33" s="1126" t="s">
        <v>776</v>
      </c>
      <c r="H33" s="1123">
        <v>0.12</v>
      </c>
      <c r="I33" s="93"/>
      <c r="J33" s="1124"/>
      <c r="K33" s="93"/>
      <c r="L33" s="1124"/>
      <c r="M33" s="93" t="s">
        <v>333</v>
      </c>
      <c r="N33" s="1144">
        <v>5</v>
      </c>
    </row>
    <row r="34" spans="1:14" ht="33" customHeight="1" x14ac:dyDescent="0.25">
      <c r="A34" s="799" t="s">
        <v>485</v>
      </c>
      <c r="B34" s="1122"/>
      <c r="C34" s="93" t="s">
        <v>760</v>
      </c>
      <c r="D34" s="1123">
        <v>0.11</v>
      </c>
      <c r="E34" s="800" t="s">
        <v>777</v>
      </c>
      <c r="F34" s="1124">
        <v>8</v>
      </c>
      <c r="G34" s="93"/>
      <c r="H34" s="1124"/>
      <c r="I34" s="93"/>
      <c r="J34" s="1124"/>
      <c r="K34" s="93"/>
      <c r="L34" s="1124"/>
      <c r="M34" s="93" t="s">
        <v>333</v>
      </c>
      <c r="N34" s="1144">
        <v>4</v>
      </c>
    </row>
    <row r="35" spans="1:14" ht="33" customHeight="1" x14ac:dyDescent="0.25">
      <c r="A35" s="799" t="s">
        <v>489</v>
      </c>
      <c r="B35" s="1122"/>
      <c r="C35" s="800" t="s">
        <v>775</v>
      </c>
      <c r="D35" s="1123">
        <v>0.06</v>
      </c>
      <c r="E35" s="800" t="s">
        <v>119</v>
      </c>
      <c r="F35" s="1124">
        <v>14</v>
      </c>
      <c r="G35" s="93"/>
      <c r="H35" s="1124"/>
      <c r="I35" s="93"/>
      <c r="J35" s="1124"/>
      <c r="K35" s="93"/>
      <c r="L35" s="1124"/>
      <c r="M35" s="93" t="s">
        <v>333</v>
      </c>
      <c r="N35" s="1144">
        <v>4</v>
      </c>
    </row>
    <row r="36" spans="1:14" ht="33" customHeight="1" thickBot="1" x14ac:dyDescent="0.3">
      <c r="A36" s="1139" t="s">
        <v>492</v>
      </c>
      <c r="B36" s="1132"/>
      <c r="C36" s="696" t="s">
        <v>53</v>
      </c>
      <c r="D36" s="1133">
        <v>0.12</v>
      </c>
      <c r="E36" s="696"/>
      <c r="F36" s="1134"/>
      <c r="G36" s="696"/>
      <c r="H36" s="1134"/>
      <c r="I36" s="696"/>
      <c r="J36" s="1134"/>
      <c r="K36" s="696"/>
      <c r="L36" s="1134"/>
      <c r="M36" s="696" t="s">
        <v>333</v>
      </c>
      <c r="N36" s="1142">
        <v>4</v>
      </c>
    </row>
    <row r="37" spans="1:14" ht="33" customHeight="1" thickBot="1" x14ac:dyDescent="0.3">
      <c r="A37" s="797"/>
      <c r="D37" s="1085"/>
    </row>
    <row r="38" spans="1:14" ht="33" customHeight="1" x14ac:dyDescent="0.25">
      <c r="A38" s="1138" t="s">
        <v>390</v>
      </c>
      <c r="B38" s="1127"/>
      <c r="C38" s="1128" t="s">
        <v>278</v>
      </c>
      <c r="D38" s="1129">
        <v>0.24</v>
      </c>
      <c r="E38" s="1130" t="s">
        <v>773</v>
      </c>
      <c r="F38" s="1131">
        <v>35</v>
      </c>
      <c r="G38" s="1128"/>
      <c r="H38" s="1131"/>
      <c r="I38" s="1128"/>
      <c r="J38" s="1131"/>
      <c r="K38" s="1128"/>
      <c r="L38" s="1131"/>
      <c r="M38" s="1128" t="s">
        <v>333</v>
      </c>
      <c r="N38" s="1143">
        <v>4</v>
      </c>
    </row>
    <row r="39" spans="1:14" ht="33" customHeight="1" x14ac:dyDescent="0.25">
      <c r="A39" s="799" t="s">
        <v>481</v>
      </c>
      <c r="B39" s="1122"/>
      <c r="C39" s="800" t="s">
        <v>31</v>
      </c>
      <c r="D39" s="1125">
        <v>0.14000000000000001</v>
      </c>
      <c r="E39" s="93"/>
      <c r="F39" s="1124"/>
      <c r="G39" s="93"/>
      <c r="H39" s="1124"/>
      <c r="I39" s="93"/>
      <c r="J39" s="1124"/>
      <c r="K39" s="93"/>
      <c r="L39" s="1124"/>
      <c r="M39" s="93" t="s">
        <v>333</v>
      </c>
      <c r="N39" s="1144">
        <v>4</v>
      </c>
    </row>
    <row r="40" spans="1:14" ht="33" customHeight="1" x14ac:dyDescent="0.25">
      <c r="A40" s="799" t="s">
        <v>483</v>
      </c>
      <c r="B40" s="1122"/>
      <c r="C40" s="93" t="s">
        <v>69</v>
      </c>
      <c r="D40" s="1123">
        <v>0.14000000000000001</v>
      </c>
      <c r="E40" s="800" t="s">
        <v>774</v>
      </c>
      <c r="F40" s="1123">
        <v>0.14000000000000001</v>
      </c>
      <c r="G40" s="1126" t="s">
        <v>776</v>
      </c>
      <c r="H40" s="1123">
        <v>0.14000000000000001</v>
      </c>
      <c r="I40" s="93"/>
      <c r="J40" s="1124"/>
      <c r="K40" s="93"/>
      <c r="L40" s="1124"/>
      <c r="M40" s="93" t="s">
        <v>333</v>
      </c>
      <c r="N40" s="1144">
        <v>4</v>
      </c>
    </row>
    <row r="41" spans="1:14" ht="33" customHeight="1" x14ac:dyDescent="0.25">
      <c r="A41" s="799" t="s">
        <v>487</v>
      </c>
      <c r="B41" s="1122"/>
      <c r="C41" s="93" t="s">
        <v>760</v>
      </c>
      <c r="D41" s="1123">
        <v>0.13200000000000001</v>
      </c>
      <c r="E41" s="800" t="s">
        <v>777</v>
      </c>
      <c r="F41" s="1124">
        <v>9</v>
      </c>
      <c r="G41" s="93"/>
      <c r="H41" s="1124"/>
      <c r="I41" s="93"/>
      <c r="J41" s="1124"/>
      <c r="K41" s="93"/>
      <c r="L41" s="1124"/>
      <c r="M41" s="93" t="s">
        <v>333</v>
      </c>
      <c r="N41" s="1144">
        <v>4</v>
      </c>
    </row>
    <row r="42" spans="1:14" ht="33" customHeight="1" x14ac:dyDescent="0.25">
      <c r="A42" s="799" t="s">
        <v>490</v>
      </c>
      <c r="B42" s="1122"/>
      <c r="C42" s="800" t="s">
        <v>775</v>
      </c>
      <c r="D42" s="1123">
        <v>7.0000000000000007E-2</v>
      </c>
      <c r="E42" s="800" t="s">
        <v>119</v>
      </c>
      <c r="F42" s="1124">
        <v>16</v>
      </c>
      <c r="G42" s="93"/>
      <c r="H42" s="1124"/>
      <c r="I42" s="93"/>
      <c r="J42" s="1124"/>
      <c r="K42" s="93"/>
      <c r="L42" s="1124"/>
      <c r="M42" s="93" t="s">
        <v>333</v>
      </c>
      <c r="N42" s="1144">
        <v>4</v>
      </c>
    </row>
    <row r="43" spans="1:14" ht="33" customHeight="1" x14ac:dyDescent="0.25">
      <c r="A43" s="1145" t="s">
        <v>389</v>
      </c>
      <c r="B43" s="1146"/>
      <c r="C43" s="768" t="s">
        <v>53</v>
      </c>
      <c r="D43" s="1147">
        <v>0.14000000000000001</v>
      </c>
      <c r="E43" s="768"/>
      <c r="F43" s="1148"/>
      <c r="G43" s="768"/>
      <c r="H43" s="1148"/>
      <c r="I43" s="768"/>
      <c r="J43" s="1148"/>
      <c r="K43" s="768"/>
      <c r="L43" s="1148"/>
      <c r="M43" s="768" t="s">
        <v>333</v>
      </c>
      <c r="N43" s="1116">
        <v>4</v>
      </c>
    </row>
    <row r="44" spans="1:14" ht="33" customHeight="1" x14ac:dyDescent="0.25">
      <c r="A44" s="797"/>
      <c r="C44" s="797"/>
      <c r="D44" s="1085"/>
    </row>
    <row r="45" spans="1:14" ht="33" customHeight="1" x14ac:dyDescent="0.25">
      <c r="A45" s="797"/>
      <c r="C45" s="797"/>
      <c r="D45" s="1085"/>
    </row>
    <row r="47" spans="1:14" ht="33" customHeight="1" x14ac:dyDescent="0.25">
      <c r="A47" s="797"/>
      <c r="D47" s="1085"/>
    </row>
    <row r="48" spans="1:14" ht="33" customHeight="1" x14ac:dyDescent="0.25">
      <c r="A48" s="797"/>
      <c r="D48" s="1085"/>
    </row>
    <row r="49" spans="1:4" ht="33" customHeight="1" x14ac:dyDescent="0.25">
      <c r="A49" s="797"/>
      <c r="D49" s="1085"/>
    </row>
    <row r="50" spans="1:4" ht="33" customHeight="1" x14ac:dyDescent="0.25">
      <c r="A50" s="797"/>
      <c r="D50" s="1085"/>
    </row>
  </sheetData>
  <mergeCells count="1">
    <mergeCell ref="P1:AZ1"/>
  </mergeCells>
  <conditionalFormatting sqref="Q3:AZ32">
    <cfRule type="cellIs" dxfId="95" priority="1" operator="equal">
      <formula>0</formula>
    </cfRule>
  </conditionalFormatting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306</vt:i4>
      </vt:variant>
    </vt:vector>
  </HeadingPairs>
  <TitlesOfParts>
    <vt:vector size="321" baseType="lpstr">
      <vt:lpstr>Навыки</vt:lpstr>
      <vt:lpstr>Таблицы имплантов</vt:lpstr>
      <vt:lpstr>Примерочная</vt:lpstr>
      <vt:lpstr>Таблицы оружие</vt:lpstr>
      <vt:lpstr>Ачивки</vt:lpstr>
      <vt:lpstr>Таблицы ачивок</vt:lpstr>
      <vt:lpstr>Стимуляторы</vt:lpstr>
      <vt:lpstr>Лист1</vt:lpstr>
      <vt:lpstr>Таблицы броня</vt:lpstr>
      <vt:lpstr>Таблицы навыков</vt:lpstr>
      <vt:lpstr>моды</vt:lpstr>
      <vt:lpstr>Формулы</vt:lpstr>
      <vt:lpstr>Лист2</vt:lpstr>
      <vt:lpstr>Импланты</vt:lpstr>
      <vt:lpstr>Таблицы стимуляторов</vt:lpstr>
      <vt:lpstr>HF_патроны</vt:lpstr>
      <vt:lpstr>Ачивка_защита</vt:lpstr>
      <vt:lpstr>Ачивка_интоксикация</vt:lpstr>
      <vt:lpstr>Ачивка_крит._попадание</vt:lpstr>
      <vt:lpstr>Ачивка_радиус_взрыва</vt:lpstr>
      <vt:lpstr>Ачивка_скорость_по_карте</vt:lpstr>
      <vt:lpstr>Ачивка_снижение_урона</vt:lpstr>
      <vt:lpstr>Ачивка_сопротивление_эфф.</vt:lpstr>
      <vt:lpstr>Ачивка_урон_гранат</vt:lpstr>
      <vt:lpstr>Ачивка_урон_мин</vt:lpstr>
      <vt:lpstr>Ачивка_урон_при_атаке_монстров</vt:lpstr>
      <vt:lpstr>Ачивка_эфф._аптечек</vt:lpstr>
      <vt:lpstr>Ачивка_эфф._стимуляторов</vt:lpstr>
      <vt:lpstr>Ачивки_здоровье</vt:lpstr>
      <vt:lpstr>Ачивки_урон</vt:lpstr>
      <vt:lpstr>Бонус_модификаций_защита</vt:lpstr>
      <vt:lpstr>Бонус_модификаций_контузия</vt:lpstr>
      <vt:lpstr>Бонус_модификаций_крит._защита</vt:lpstr>
      <vt:lpstr>Бонус_модификаций_крит._уклонение</vt:lpstr>
      <vt:lpstr>Бонус_модификаций_маскировка</vt:lpstr>
      <vt:lpstr>Бонус_модификаций_отравление</vt:lpstr>
      <vt:lpstr>Бонус_модификаций_снижение_урона</vt:lpstr>
      <vt:lpstr>Бонус_модификаций_шок</vt:lpstr>
      <vt:lpstr>Бонусы_сетов_ТБ_дальность_СВ</vt:lpstr>
      <vt:lpstr>Бонусы_сетов_ТБ_ОД</vt:lpstr>
      <vt:lpstr>Бонусы_сетов_ТБ_ОД_на_выстрел_СВ</vt:lpstr>
      <vt:lpstr>Бонусы_сетов_ТБ_ОД_на_установку_мин</vt:lpstr>
      <vt:lpstr>Бонусы_сетов_ТБ_ОД_на_экипировку_СВ</vt:lpstr>
      <vt:lpstr>Бонусы_сетов_ТБ_урон_мин</vt:lpstr>
      <vt:lpstr>Бонусы_сетов_ТБ_урон_П_ПП</vt:lpstr>
      <vt:lpstr>Бонусы_сетов_ТБ_урон_СВ</vt:lpstr>
      <vt:lpstr>Бонусы_сетов_УБ_АД_на_экипировку_щитов</vt:lpstr>
      <vt:lpstr>Бонусы_сетов_УБ_время_прицеливания_СВ</vt:lpstr>
      <vt:lpstr>Бонусы_сетов_УБ_мобильность_щитов</vt:lpstr>
      <vt:lpstr>Бонусы_сетов_УБ_снижение_урона</vt:lpstr>
      <vt:lpstr>Бонусы_сетов_УБ_точность_СВ</vt:lpstr>
      <vt:lpstr>Бонусы_сетов_УБ_урон_дробовиков</vt:lpstr>
      <vt:lpstr>Бонусы_сетов_ШБ_дальность_броска_гранат</vt:lpstr>
      <vt:lpstr>Бонусы_сетов_ШБ_ОД_на_выстрел_пулиметов</vt:lpstr>
      <vt:lpstr>Бонусы_сетов_ШБ_урон_гранат</vt:lpstr>
      <vt:lpstr>Бонусы_сетов_ШБ_урон_пулиметов</vt:lpstr>
      <vt:lpstr>Бонусы_сетов_ШБ_урон_ШВ</vt:lpstr>
      <vt:lpstr>Бонусы_уникальных_предметов_феникс_дальность_дробовиков</vt:lpstr>
      <vt:lpstr>Бонусы_уникальных_предметов_феникс_дальность_пулиметов</vt:lpstr>
      <vt:lpstr>Бонусы_уникальных_предметов_феникс_дальность_СВ</vt:lpstr>
      <vt:lpstr>Бонусы_уникальных_предметов_феникс_дальность_ШВ</vt:lpstr>
      <vt:lpstr>Бонусы_уникальных_предметов_феникс_защита_ТБ</vt:lpstr>
      <vt:lpstr>Бонусы_уникальных_предметов_феникс_защита_УБ</vt:lpstr>
      <vt:lpstr>Бонусы_уникальных_предметов_феникс_защита_ШБ</vt:lpstr>
      <vt:lpstr>Бонусы_уникальных_предметов_феникс_здоровье</vt:lpstr>
      <vt:lpstr>Бонусы_уникальных_предметов_феникс_ОД</vt:lpstr>
      <vt:lpstr>Бонусы_уникальных_предметов_феникс_побег_из_боя</vt:lpstr>
      <vt:lpstr>Бонусы_уникальных_предметов_феникс_скорость_по_карте</vt:lpstr>
      <vt:lpstr>Бонусы_уникальных_предметов_феникс_урон</vt:lpstr>
      <vt:lpstr>Бонусы_уникальных_предметов_феникс_эфф._аптечек</vt:lpstr>
      <vt:lpstr>Гемобуфер_альфа_здоровье</vt:lpstr>
      <vt:lpstr>Гемобуфер_альфа_М_здоровье</vt:lpstr>
      <vt:lpstr>Гемобуфер_альфа_М_сопротивление_эффектам</vt:lpstr>
      <vt:lpstr>Гемобуфер_альфа_сопротивление_эффектам</vt:lpstr>
      <vt:lpstr>Гемобуфер_бета_здоровье</vt:lpstr>
      <vt:lpstr>Гемобуфер_бета_М_здоровье</vt:lpstr>
      <vt:lpstr>Гемобуфер_бета_М_сопротивление_эффектам</vt:lpstr>
      <vt:lpstr>Гемобуфер_бета_сопротивление_эффектам</vt:lpstr>
      <vt:lpstr>Гемобуфер_здоровье</vt:lpstr>
      <vt:lpstr>Гемобуфер_сопротивление_эффектам</vt:lpstr>
      <vt:lpstr>гемобуферальфа</vt:lpstr>
      <vt:lpstr>гемобуферальфаМ</vt:lpstr>
      <vt:lpstr>гемобуфербетта</vt:lpstr>
      <vt:lpstr>гемобуфербеттаМ</vt:lpstr>
      <vt:lpstr>Имплант_восприятие</vt:lpstr>
      <vt:lpstr>Имплант_грузоподъемность</vt:lpstr>
      <vt:lpstr>Имплант_дальность</vt:lpstr>
      <vt:lpstr>Имплант_защита</vt:lpstr>
      <vt:lpstr>Имплант_здоровье</vt:lpstr>
      <vt:lpstr>Имплант_интелект</vt:lpstr>
      <vt:lpstr>Имплант_интоксикация</vt:lpstr>
      <vt:lpstr>Имплант_крит.защита</vt:lpstr>
      <vt:lpstr>Имплант_крит.попадание</vt:lpstr>
      <vt:lpstr>Имплант_крит.уклонение</vt:lpstr>
      <vt:lpstr>Имплант_крит.урон</vt:lpstr>
      <vt:lpstr>Имплант_ловкость</vt:lpstr>
      <vt:lpstr>Имплант_маскировка</vt:lpstr>
      <vt:lpstr>Имплант_ОД</vt:lpstr>
      <vt:lpstr>Имплант_сила</vt:lpstr>
      <vt:lpstr>Имплант_сила_воли</vt:lpstr>
      <vt:lpstr>Имплант_скорость_по_карте</vt:lpstr>
      <vt:lpstr>Имплант_снижение_урона</vt:lpstr>
      <vt:lpstr>Имплант_сопротивление_эфф.</vt:lpstr>
      <vt:lpstr>Имплант_телосложение</vt:lpstr>
      <vt:lpstr>Имплант_точность</vt:lpstr>
      <vt:lpstr>Имплант_урон</vt:lpstr>
      <vt:lpstr>Имплант_эфф.аптечек</vt:lpstr>
      <vt:lpstr>Имплант_эфф.боеприпасов</vt:lpstr>
      <vt:lpstr>Имплант_эфф.стимуляторов</vt:lpstr>
      <vt:lpstr>Моториум_Альфа_М_ОД</vt:lpstr>
      <vt:lpstr>Моториум_альфа_ОД</vt:lpstr>
      <vt:lpstr>Моториум_бета_М_ОД</vt:lpstr>
      <vt:lpstr>Моториум_бета_ОД</vt:lpstr>
      <vt:lpstr>Моториум_ОД</vt:lpstr>
      <vt:lpstr>Навык_гранаты_дальность_броска</vt:lpstr>
      <vt:lpstr>Навык_гранаты_радиус_взрыва</vt:lpstr>
      <vt:lpstr>Навык_гранаты_урон</vt:lpstr>
      <vt:lpstr>Навык_допинг_длительность_дейтсвия</vt:lpstr>
      <vt:lpstr>Навык_допинг_итоксикация</vt:lpstr>
      <vt:lpstr>Навык_допинг_ОД_исп._стим.</vt:lpstr>
      <vt:lpstr>Навык_допинг_эфф._стим.</vt:lpstr>
      <vt:lpstr>Навык_ДРОБ._дальность</vt:lpstr>
      <vt:lpstr>Навык_ДРОБ._точность</vt:lpstr>
      <vt:lpstr>Навык_ДРОБ._урон</vt:lpstr>
      <vt:lpstr>Навык_защита</vt:lpstr>
      <vt:lpstr>Навык_защитник_защита</vt:lpstr>
      <vt:lpstr>Навык_защитник_крит._защита</vt:lpstr>
      <vt:lpstr>Навык_защитник_крит._уклонение</vt:lpstr>
      <vt:lpstr>Навык_защитник_маскировка</vt:lpstr>
      <vt:lpstr>Навык_защитник_сопр._эфф.</vt:lpstr>
      <vt:lpstr>Навык_интендант</vt:lpstr>
      <vt:lpstr>Навык_использование_брони_защита</vt:lpstr>
      <vt:lpstr>Навык_использование_брони_крит._защита</vt:lpstr>
      <vt:lpstr>Навык_использование_брони_крит._уклонение</vt:lpstr>
      <vt:lpstr>Навык_использование_брони_маскировка</vt:lpstr>
      <vt:lpstr>Навык_использование_брони_сопр._эфф.</vt:lpstr>
      <vt:lpstr>Навык_калибровка_радиус</vt:lpstr>
      <vt:lpstr>Навык_калибровка_чувствителность</vt:lpstr>
      <vt:lpstr>Навык_крепкое_здоровье_здоровье</vt:lpstr>
      <vt:lpstr>Навык_крит._защита</vt:lpstr>
      <vt:lpstr>Навык_крит._попадание</vt:lpstr>
      <vt:lpstr>Навык_крит._уклонение</vt:lpstr>
      <vt:lpstr>Навык_крит._урон</vt:lpstr>
      <vt:lpstr>Навык_ксенофиз._крит._поп.</vt:lpstr>
      <vt:lpstr>Навык_ксенофиз._крит._урон</vt:lpstr>
      <vt:lpstr>Навык_ксенофиз._урон</vt:lpstr>
      <vt:lpstr>Навык_маскировка</vt:lpstr>
      <vt:lpstr>Навык_метаболизм_регенерация</vt:lpstr>
      <vt:lpstr>Навык_мины_ОД_на_установку</vt:lpstr>
      <vt:lpstr>Навык_мины_радиус_взрыва</vt:lpstr>
      <vt:lpstr>Навык_мины_урон</vt:lpstr>
      <vt:lpstr>Навык_оружие_дальность</vt:lpstr>
      <vt:lpstr>Навык_оружие_крит._попадание</vt:lpstr>
      <vt:lpstr>Навык_оружие_крит._урон</vt:lpstr>
      <vt:lpstr>Навык_оружие_мобильность</vt:lpstr>
      <vt:lpstr>Навык_оружие_точность</vt:lpstr>
      <vt:lpstr>Навык_оружие_урон</vt:lpstr>
      <vt:lpstr>Навык_охотник_крит._попадние_по_монстрам</vt:lpstr>
      <vt:lpstr>Навык_охотник_крит._урон_по_монстрам</vt:lpstr>
      <vt:lpstr>Навык_охотник_скорость_по_карте</vt:lpstr>
      <vt:lpstr>Навык_охотник_урон_по_монстрам</vt:lpstr>
      <vt:lpstr>Навык_охотник_эфф._аптечек</vt:lpstr>
      <vt:lpstr>Навык_первая_помощь_эфф._апт.</vt:lpstr>
      <vt:lpstr>Навык_потоковая_компрессия_скорость_сканирования</vt:lpstr>
      <vt:lpstr>Навык_ПУЛ._крит._урон</vt:lpstr>
      <vt:lpstr>Навык_ПУЛ._точность</vt:lpstr>
      <vt:lpstr>Навык_ПУЛ._урон</vt:lpstr>
      <vt:lpstr>Навык_СВ_крит._поп.</vt:lpstr>
      <vt:lpstr>Навык_СВ_крит._урон</vt:lpstr>
      <vt:lpstr>Навык_СВ_урон</vt:lpstr>
      <vt:lpstr>Навык_скаут_скорость_по_карте</vt:lpstr>
      <vt:lpstr>Навык_скиталец_найти_лут</vt:lpstr>
      <vt:lpstr>Навык_скиталец_побег_из_боя</vt:lpstr>
      <vt:lpstr>Навык_скиталец_потеря_трофеев</vt:lpstr>
      <vt:lpstr>Навык_сопр._эфф.</vt:lpstr>
      <vt:lpstr>Навык_спринтер_ОД</vt:lpstr>
      <vt:lpstr>Навык_стрелок_дальность</vt:lpstr>
      <vt:lpstr>Навык_стрелок_крит._попадание</vt:lpstr>
      <vt:lpstr>Навык_стрелок_крит._урон</vt:lpstr>
      <vt:lpstr>Навык_стрелок_точность</vt:lpstr>
      <vt:lpstr>Навык_стрелок_урон</vt:lpstr>
      <vt:lpstr>Навык_ТБ_крит._уклонение</vt:lpstr>
      <vt:lpstr>Навык_ТБ_маскировка</vt:lpstr>
      <vt:lpstr>Навык_торговец</vt:lpstr>
      <vt:lpstr>Навык_точность</vt:lpstr>
      <vt:lpstr>Навык_турист_грузоподъемность</vt:lpstr>
      <vt:lpstr>Навык_УБ_защита</vt:lpstr>
      <vt:lpstr>Навык_УБ_крит._защита</vt:lpstr>
      <vt:lpstr>Навык_УБ_сопр._эфф.</vt:lpstr>
      <vt:lpstr>Навык_урон</vt:lpstr>
      <vt:lpstr>Навык_ШБ_защита</vt:lpstr>
      <vt:lpstr>Навык_ШБ_крит._уклонение</vt:lpstr>
      <vt:lpstr>Навык_ШВ_крит._урон</vt:lpstr>
      <vt:lpstr>Навык_ШВ_точность</vt:lpstr>
      <vt:lpstr>Навык_ШВ_Урон</vt:lpstr>
      <vt:lpstr>Навык_щиты_защита</vt:lpstr>
      <vt:lpstr>Навык_эфф._боеприпасов</vt:lpstr>
      <vt:lpstr>Перцептил_альфа_Крит._попадание</vt:lpstr>
      <vt:lpstr>Перцептил_альфа_М_Крит._попадание</vt:lpstr>
      <vt:lpstr>Перцептил_альфа_М_точность</vt:lpstr>
      <vt:lpstr>Перцептил_альфа_М_эффективность_боеприпасов</vt:lpstr>
      <vt:lpstr>Перцептил_альфа_точность</vt:lpstr>
      <vt:lpstr>Перцептил_альфа_Эффективность_боеприпасов</vt:lpstr>
      <vt:lpstr>Перцептил_бета_Крит._попадание</vt:lpstr>
      <vt:lpstr>Перцептил_бета_М_Крит._попадание</vt:lpstr>
      <vt:lpstr>Перцептил_бета_М_точность</vt:lpstr>
      <vt:lpstr>Перцептил_бета_М_эффективность_боеприпасов</vt:lpstr>
      <vt:lpstr>Перцептил_бета_точность</vt:lpstr>
      <vt:lpstr>Перцептил_бета_Эффективность_боеприпасов</vt:lpstr>
      <vt:lpstr>Перцептил_крит._попадание</vt:lpstr>
      <vt:lpstr>Перцептил_точность</vt:lpstr>
      <vt:lpstr>Перцептил_эффективность_боеприпасов</vt:lpstr>
      <vt:lpstr>Рекуперант_альфа_востановление_эфф.</vt:lpstr>
      <vt:lpstr>Рекуперант_альфа_М_востановление_эфф.</vt:lpstr>
      <vt:lpstr>Рекуперант_альфа_М_регенирация</vt:lpstr>
      <vt:lpstr>Рекуперант_альфа_регенирация</vt:lpstr>
      <vt:lpstr>Рекуперант_бета_востановление_эфф.</vt:lpstr>
      <vt:lpstr>Рекуперант_бета_М_востановление_эфф.</vt:lpstr>
      <vt:lpstr>Рекуперант_бета_М_регенирация</vt:lpstr>
      <vt:lpstr>Рекуперант_бета_регенирация</vt:lpstr>
      <vt:lpstr>репульсибеттаМ</vt:lpstr>
      <vt:lpstr>Репульсин_альфа_крит._защита</vt:lpstr>
      <vt:lpstr>Репульсин_альфа_М_крит._защита</vt:lpstr>
      <vt:lpstr>Репульсин_альфа_М_снижение_урона</vt:lpstr>
      <vt:lpstr>Репульсин_альфа_снижение_урона</vt:lpstr>
      <vt:lpstr>Репульсин_бета_крит._защита</vt:lpstr>
      <vt:lpstr>Репульсин_бета_М_крит._защита</vt:lpstr>
      <vt:lpstr>Репульсин_бета_М_снижение_урона</vt:lpstr>
      <vt:lpstr>Репульсин_бета_снижение_урона</vt:lpstr>
      <vt:lpstr>репульсинальфа</vt:lpstr>
      <vt:lpstr>репульсинальфаМ</vt:lpstr>
      <vt:lpstr>репульсинбетта</vt:lpstr>
      <vt:lpstr>Трениг_В_крит._попадание</vt:lpstr>
      <vt:lpstr>Тренинг_В_точность</vt:lpstr>
      <vt:lpstr>Тренинг_И_крит._урон</vt:lpstr>
      <vt:lpstr>Тренинг_И_урон</vt:lpstr>
      <vt:lpstr>Тренинг_Л_крит._уклонение</vt:lpstr>
      <vt:lpstr>Тренинг_Л_маскировка</vt:lpstr>
      <vt:lpstr>Тренинг_Л_ОД</vt:lpstr>
      <vt:lpstr>Тренинг_С_грузоподъемность</vt:lpstr>
      <vt:lpstr>Тренинг_С_здоровье</vt:lpstr>
      <vt:lpstr>Тренинг_СВ_крит._защ</vt:lpstr>
      <vt:lpstr>Тренинг_СВ_снижение_урона</vt:lpstr>
      <vt:lpstr>Тренинг_Т_здоровье</vt:lpstr>
      <vt:lpstr>Тренинг_Т_сопр._эфф.</vt:lpstr>
      <vt:lpstr>Цепочка_ветеран_дальность</vt:lpstr>
      <vt:lpstr>Цепочка_ветеран_крит.попадание</vt:lpstr>
      <vt:lpstr>Цепочка_ветеран_крит.урон</vt:lpstr>
      <vt:lpstr>Цепочка_ветеран_точность</vt:lpstr>
      <vt:lpstr>Цепочка_ветеран_урон</vt:lpstr>
      <vt:lpstr>Цепочка_гангстер_крит.поп</vt:lpstr>
      <vt:lpstr>Цепочка_гангстер_крит.урон</vt:lpstr>
      <vt:lpstr>Цепочка_гангстер_точность</vt:lpstr>
      <vt:lpstr>Цепочка_гангстер_урон</vt:lpstr>
      <vt:lpstr>Цепочка_гвардеец_защита</vt:lpstr>
      <vt:lpstr>Цепочка_гвардеец_крит.защита</vt:lpstr>
      <vt:lpstr>Цепочка_гвардеец_крит.уклонение</vt:lpstr>
      <vt:lpstr>Цепочка_гвардеец_маскировка</vt:lpstr>
      <vt:lpstr>Цепочка_гвардеец_сопротивление_эффектам</vt:lpstr>
      <vt:lpstr>Цепочка_дальнобойщик_грузоподъемность</vt:lpstr>
      <vt:lpstr>Цепочка_дальнобольщик_скорость_по_карте</vt:lpstr>
      <vt:lpstr>Цепочка_допинг_длительность_стимуляторов</vt:lpstr>
      <vt:lpstr>Цепочка_допинг_интоксикация</vt:lpstr>
      <vt:lpstr>Цепочка_допинг_эфф.стимуляторов</vt:lpstr>
      <vt:lpstr>Цепочка_истребитель_монстров_урон_по_мобам</vt:lpstr>
      <vt:lpstr>Цепочка_Колос_злоровье</vt:lpstr>
      <vt:lpstr>Цепочка_Колос_эфф.аптечек</vt:lpstr>
      <vt:lpstr>Цепочка_коммандос_защита_ТБ</vt:lpstr>
      <vt:lpstr>Цепочка_коммандос_маскировка_ТБ</vt:lpstr>
      <vt:lpstr>Цепочка_коммандос_ОД</vt:lpstr>
      <vt:lpstr>Цепочка_коммандос_урон_СВ</vt:lpstr>
      <vt:lpstr>Цепочка_коммандос_эфф.боеприпасов</vt:lpstr>
      <vt:lpstr>Цепочка_легионер_защита_ШБ</vt:lpstr>
      <vt:lpstr>Цепочка_легионер_критическая_защита_ШБ</vt:lpstr>
      <vt:lpstr>Цепочка_легионер_критический_урон_ШВ</vt:lpstr>
      <vt:lpstr>Цепочка_легионер_критическое_уклонение_ШБ</vt:lpstr>
      <vt:lpstr>Цепочка_легионер_урон_ШВ</vt:lpstr>
      <vt:lpstr>Цепочка_медик_ОД_на_использование_аптечек</vt:lpstr>
      <vt:lpstr>Цепочка_медик_эфф.аптечек</vt:lpstr>
      <vt:lpstr>Цепочка_огненный_шторм_дальность_броска</vt:lpstr>
      <vt:lpstr>Цепочка_огненный_шторм_радиус_взрыва</vt:lpstr>
      <vt:lpstr>Цепочка_огненный_шторм_сопротивление_эффектам</vt:lpstr>
      <vt:lpstr>Цепочка_огненный_шторм_урон_гранат</vt:lpstr>
      <vt:lpstr>Цепочка_охотник_крит.попадание</vt:lpstr>
      <vt:lpstr>Цепочка_охотник_крит.урон</vt:lpstr>
      <vt:lpstr>Цепочка_охотник_сопротивление_эфф.</vt:lpstr>
      <vt:lpstr>Цепочка_охотник_урон_по_монстрам</vt:lpstr>
      <vt:lpstr>Цепочка_охотник_шанс_получить_боевой_дух</vt:lpstr>
      <vt:lpstr>Цепочка_палач_защита_ШБ</vt:lpstr>
      <vt:lpstr>Цепочка_палач_критический_урон_пулиметов</vt:lpstr>
      <vt:lpstr>Цепочка_палач_критическое_уклонение_ШБ</vt:lpstr>
      <vt:lpstr>Цепочка_палач_ОД_на_выстрел_пулиметов</vt:lpstr>
      <vt:lpstr>Цепочка_палач_урон_пулиметов</vt:lpstr>
      <vt:lpstr>Цепочка_разведчик_время_сканирования</vt:lpstr>
      <vt:lpstr>Цепочка_разведчик_награда_аномалий_любого_типа</vt:lpstr>
      <vt:lpstr>Цепочка_разведчик_радиус_излучаемых_помех</vt:lpstr>
      <vt:lpstr>Цепочка_разведчик_чувствительность_сенсоров</vt:lpstr>
      <vt:lpstr>Цепочка_разрушитель_урон</vt:lpstr>
      <vt:lpstr>Цепочка_сапер_сопротивление_эффектам</vt:lpstr>
      <vt:lpstr>Цепочка_скиталец_побег_из_боя</vt:lpstr>
      <vt:lpstr>Цепочка_скиталец_скорость_по_карте</vt:lpstr>
      <vt:lpstr>Цепочка_странник_побег_из_боя</vt:lpstr>
      <vt:lpstr>Цепочка_странник_потеря_трофеев</vt:lpstr>
      <vt:lpstr>Цепочка_странник_потеря_трофеев_при_смерти</vt:lpstr>
      <vt:lpstr>Цепочка_странник_скорость_по_карте</vt:lpstr>
      <vt:lpstr>Цепочка_странник_шанс_случайной_встречи</vt:lpstr>
      <vt:lpstr>Цепочка_стрелок_дальность_П_ПП</vt:lpstr>
      <vt:lpstr>Цепочка_стрелок_критическое_попадание_П_ПП</vt:lpstr>
      <vt:lpstr>Цепочка_стрелок_ОД_на_перезарядку_оружия</vt:lpstr>
      <vt:lpstr>Цепочка_стрелок_Точность_П_ПП</vt:lpstr>
      <vt:lpstr>Цепочка_стрелок_урон_П_ПП</vt:lpstr>
      <vt:lpstr>Цепочка_турбо_ОД</vt:lpstr>
      <vt:lpstr>Цепочка_турбо_ОД_на_использование_аптечек</vt:lpstr>
      <vt:lpstr>Цепочка_турбо_ОД_на_перезарядку_оружия</vt:lpstr>
      <vt:lpstr>Цепочка_турбо_ОД_на_экипировку_оружия</vt:lpstr>
      <vt:lpstr>Цепочка_универсальный_солдат_защита</vt:lpstr>
      <vt:lpstr>Цепочка_универсальный_солдат_ОД</vt:lpstr>
      <vt:lpstr>Цепочка_универсальный_солдат_урон</vt:lpstr>
      <vt:lpstr>Цепочка_универсальный_солдат_эфф._аптечек</vt:lpstr>
      <vt:lpstr>Цепочка_универсальный_солдат_эффективность_боеприпасов</vt:lpstr>
      <vt:lpstr>ШВкритпопадание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viktor</dc:creator>
  <cp:lastModifiedBy>Виктор Ларионов</cp:lastModifiedBy>
  <cp:lastPrinted>2019-10-22T12:30:11Z</cp:lastPrinted>
  <dcterms:created xsi:type="dcterms:W3CDTF">2006-09-28T05:33:49Z</dcterms:created>
  <dcterms:modified xsi:type="dcterms:W3CDTF">2024-05-30T17:45:24Z</dcterms:modified>
</cp:coreProperties>
</file>