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D:\Schoolwork Grade 12\Leukemans Byron Grade12  PAT2024\Phase 2 Folder\Excel Spreadsheet\"/>
    </mc:Choice>
  </mc:AlternateContent>
  <xr:revisionPtr revIDLastSave="0" documentId="13_ncr:1_{2D75DD31-FF5D-4C40-8E37-5C59F2E6879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urvey results" sheetId="1" r:id="rId1"/>
    <sheet name="Calculations and Graphs" sheetId="2" r:id="rId2"/>
  </sheets>
  <definedNames>
    <definedName name="_xlchart.v2.0" hidden="1">'Calculations and Graphs'!$J$6:$J$9</definedName>
    <definedName name="_xlchart.v2.1" hidden="1">'Calculations and Graphs'!$N$6:$N$9</definedName>
  </definedNames>
  <calcPr calcId="191029"/>
  <pivotCaches>
    <pivotCache cacheId="0" r:id="rId3"/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" i="2" l="1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6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43" i="2"/>
  <c r="A2" i="2"/>
  <c r="Y46" i="2" l="1"/>
  <c r="Y44" i="2"/>
  <c r="Y43" i="2"/>
  <c r="Y45" i="2"/>
  <c r="F32" i="1"/>
  <c r="E32" i="1"/>
  <c r="D32" i="1"/>
  <c r="B32" i="1"/>
  <c r="A32" i="1"/>
  <c r="U8" i="2"/>
  <c r="U9" i="2"/>
  <c r="U10" i="2"/>
  <c r="U11" i="2"/>
  <c r="U12" i="2"/>
  <c r="U13" i="2"/>
  <c r="U14" i="2"/>
  <c r="U15" i="2"/>
  <c r="U16" i="2"/>
  <c r="U17" i="2"/>
  <c r="N72" i="2" s="1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7" i="2"/>
  <c r="T36" i="2"/>
  <c r="T35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7" i="2"/>
  <c r="Y47" i="2" l="1"/>
  <c r="T38" i="2"/>
  <c r="U38" i="2"/>
  <c r="N71" i="2"/>
  <c r="T39" i="2" l="1"/>
  <c r="K32" i="1"/>
  <c r="F72" i="2"/>
  <c r="F71" i="2"/>
  <c r="F50" i="2"/>
  <c r="F49" i="2"/>
  <c r="F29" i="2"/>
  <c r="F28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8" i="2"/>
  <c r="S29" i="2"/>
  <c r="S30" i="2"/>
  <c r="S31" i="2"/>
  <c r="S32" i="2"/>
  <c r="S33" i="2"/>
  <c r="S34" i="2"/>
  <c r="S35" i="2"/>
  <c r="S36" i="2"/>
  <c r="S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8" i="2"/>
  <c r="R29" i="2"/>
  <c r="R30" i="2"/>
  <c r="R31" i="2"/>
  <c r="R32" i="2"/>
  <c r="R33" i="2"/>
  <c r="R34" i="2"/>
  <c r="R35" i="2"/>
  <c r="R36" i="2"/>
  <c r="R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8" i="2"/>
  <c r="Q29" i="2"/>
  <c r="Q30" i="2"/>
  <c r="Q31" i="2"/>
  <c r="Q32" i="2"/>
  <c r="Q33" i="2"/>
  <c r="Q34" i="2"/>
  <c r="Q35" i="2"/>
  <c r="Q36" i="2"/>
  <c r="Q6" i="2"/>
  <c r="C7" i="2"/>
  <c r="B7" i="2"/>
  <c r="N7" i="2" l="1"/>
  <c r="N6" i="2"/>
  <c r="N8" i="2"/>
  <c r="N9" i="2"/>
  <c r="D7" i="2"/>
</calcChain>
</file>

<file path=xl/sharedStrings.xml><?xml version="1.0" encoding="utf-8"?>
<sst xmlns="http://schemas.openxmlformats.org/spreadsheetml/2006/main" count="533" uniqueCount="139">
  <si>
    <t>ID</t>
  </si>
  <si>
    <t>Gender</t>
  </si>
  <si>
    <t>Male</t>
  </si>
  <si>
    <t>No</t>
  </si>
  <si>
    <t>Yes</t>
  </si>
  <si>
    <t>Technical skills such as Engineering</t>
  </si>
  <si>
    <t>Green technology researcher;Sustainable engineer;Environmental compliance offier;</t>
  </si>
  <si>
    <t>Extremely important</t>
  </si>
  <si>
    <t>High initial investment costs;Lack of government support;Limited public awarenss and demand in this industry;</t>
  </si>
  <si>
    <t>Remaining level</t>
  </si>
  <si>
    <t>Female</t>
  </si>
  <si>
    <t>Pilot;Sustainable engineer;Green technology researcher;Environmental compliance offier;</t>
  </si>
  <si>
    <t>High initial investment costs;</t>
  </si>
  <si>
    <t>Lack of government support;High initial investment costs;Limited public awarenss and demand in this industry;</t>
  </si>
  <si>
    <t>Steadily growing</t>
  </si>
  <si>
    <t>Problem-solving skills</t>
  </si>
  <si>
    <t>Green technology researcher;Pilot;</t>
  </si>
  <si>
    <t>Lack of government support;</t>
  </si>
  <si>
    <t>Sustainable engineer;Green technology researcher;Environmental compliance offier;</t>
  </si>
  <si>
    <t>Technical skills such as Engineering;Communication;</t>
  </si>
  <si>
    <t>Pilot;</t>
  </si>
  <si>
    <t>Rapid expansion</t>
  </si>
  <si>
    <t>Technical skills such as Engineering;Problem-solving skills;Communication;</t>
  </si>
  <si>
    <t>Lack of government support;High initial investment costs;</t>
  </si>
  <si>
    <t>Technical skills such as Engineering;Communication;Problem-solving skills;</t>
  </si>
  <si>
    <t>Pilot;Green technology researcher;Sustainable engineer;</t>
  </si>
  <si>
    <t>Neutral</t>
  </si>
  <si>
    <t>Lack of government support;Limited public awarenss and demand in this industry;</t>
  </si>
  <si>
    <t>Problem-solving skills;Technical skills such as Engineering;</t>
  </si>
  <si>
    <t>Sustainable engineer;Green technology researcher;</t>
  </si>
  <si>
    <t>High initial investment costs;Limited public awarenss and demand in this industry;</t>
  </si>
  <si>
    <t>Technical skills such as Engineering;Problem-solving skills;</t>
  </si>
  <si>
    <t>Pilot;Environmental compliance offier;</t>
  </si>
  <si>
    <t>Leadership skills;Communication;</t>
  </si>
  <si>
    <t>Sustainable engineer;Environmental compliance offier;</t>
  </si>
  <si>
    <t>Pilot;Green technology researcher;</t>
  </si>
  <si>
    <t>Declinig</t>
  </si>
  <si>
    <t>Pilot;Environmental compliance offier;Green technology researcher;</t>
  </si>
  <si>
    <t>Technical skills such as Engineering;Communication;Leadership skills;Problem-solving skills;</t>
  </si>
  <si>
    <t>Technical skills such as Engineering;Leadership skills;</t>
  </si>
  <si>
    <t>Green technology researcher;Sustainable engineer;</t>
  </si>
  <si>
    <t>Extremely not important</t>
  </si>
  <si>
    <t>Communication;Technical skills such as Engineering;</t>
  </si>
  <si>
    <t>Technical skills such as Engineering;Communication;Leadership skills;</t>
  </si>
  <si>
    <t>Technical skills such as Engineering;Leadership skills;Problem-solving skills;</t>
  </si>
  <si>
    <t>High initial investment costs;Lack of government support;</t>
  </si>
  <si>
    <t>Sustainable engineer;Pilot;</t>
  </si>
  <si>
    <t>Pilot;Sustainable engineer;</t>
  </si>
  <si>
    <t>Green technology researcher;Environmental compliance offier;</t>
  </si>
  <si>
    <t>Limited public awarenss and demand in this industry;Lack of government support;</t>
  </si>
  <si>
    <t>Limited public awarenss and demand in this industry;</t>
  </si>
  <si>
    <t>Communication;Leadership skills;</t>
  </si>
  <si>
    <t>Lack of government support;Limited public awarenss and demand in this industry;High initial investment costs;</t>
  </si>
  <si>
    <t>Aware with the concept of "Green Jobs"</t>
  </si>
  <si>
    <t>Aware of any green jobs in the aviation industry</t>
  </si>
  <si>
    <t>Date completed</t>
  </si>
  <si>
    <t xml:space="preserve"> Concerns regarding green jobs in the aviation industry</t>
  </si>
  <si>
    <t>Aware of the increasing green job availibility in the aviation industry</t>
  </si>
  <si>
    <t xml:space="preserve"> Employment is at risk with the introduction of greener jobs in this sector</t>
  </si>
  <si>
    <t xml:space="preserve">Need for specialized education and training programs focusing on green jobs in aviation in South Africa?
</t>
  </si>
  <si>
    <t xml:space="preserve"> Skills or qualifications essential for individuals pursuing green jobs in the aviation industry</t>
  </si>
  <si>
    <t xml:space="preserve"> Specific green job roles do you think are in high demand or will be in the future within the South African aviation industry </t>
  </si>
  <si>
    <t xml:space="preserve"> Strong technological advancements regarding greener sustainability in this sector (Specifically in South Africa).</t>
  </si>
  <si>
    <t>Consider a job opportunity in this sector?</t>
  </si>
  <si>
    <t xml:space="preserve"> Importantance collaboration between government, stakeholders and educational institutions is in promoting awareness of green jobs in South Africa</t>
  </si>
  <si>
    <t xml:space="preserve"> Barriers or challenges to the implementation of green initiatives and the creation of green job opportunities in the aviation industry</t>
  </si>
  <si>
    <t xml:space="preserve"> The future of green job opportunities in the aviation industry evolving in South Africa over the next decade</t>
  </si>
  <si>
    <t>Byron Leukemans</t>
  </si>
  <si>
    <t>Total</t>
  </si>
  <si>
    <t>Aware of concept "Green Jobs"</t>
  </si>
  <si>
    <t>Row Labels</t>
  </si>
  <si>
    <t>Grand Total</t>
  </si>
  <si>
    <t>Sum of 30</t>
  </si>
  <si>
    <t xml:space="preserve">Yes and Male </t>
  </si>
  <si>
    <t xml:space="preserve">Yes and Female </t>
  </si>
  <si>
    <t>No and Female</t>
  </si>
  <si>
    <t>Building blocks</t>
  </si>
  <si>
    <t>No and Male</t>
  </si>
  <si>
    <t>Aware of Green jobs in aviation</t>
  </si>
  <si>
    <t>Conerns regarding green jobs in aviation sector</t>
  </si>
  <si>
    <t>Yes; Aware</t>
  </si>
  <si>
    <t>Not Aware</t>
  </si>
  <si>
    <t xml:space="preserve"> Concerns </t>
  </si>
  <si>
    <t xml:space="preserve">Count </t>
  </si>
  <si>
    <t>Aware of increasing job availability</t>
  </si>
  <si>
    <t xml:space="preserve"> Employment is at risk </t>
  </si>
  <si>
    <t xml:space="preserve">Employment is at risk </t>
  </si>
  <si>
    <t>Need for specialised training</t>
  </si>
  <si>
    <t xml:space="preserve">Those who would consider a job </t>
  </si>
  <si>
    <t>Total Respondents</t>
  </si>
  <si>
    <t>Sumif</t>
  </si>
  <si>
    <t xml:space="preserve">Calculations </t>
  </si>
  <si>
    <t>Graphs</t>
  </si>
  <si>
    <t>Sumif: Would consider a job</t>
  </si>
  <si>
    <t>Countif</t>
  </si>
  <si>
    <t>Pivot Table</t>
  </si>
  <si>
    <t>Sum</t>
  </si>
  <si>
    <t>Countifs</t>
  </si>
  <si>
    <t>Vlookup to see whch ID belongs to what Gender</t>
  </si>
  <si>
    <t>Average Yes</t>
  </si>
  <si>
    <t>Average No</t>
  </si>
  <si>
    <t>Calculations from Survey Spreadsheet</t>
  </si>
  <si>
    <t>Vlookup to determine how each ID views the future</t>
  </si>
  <si>
    <t>Count of remaining level</t>
  </si>
  <si>
    <t>Count of Steadily growing</t>
  </si>
  <si>
    <t>Count of Rapid expansion</t>
  </si>
  <si>
    <t>Count of declining</t>
  </si>
  <si>
    <t>Count from Vlookup of how each ID views the future</t>
  </si>
  <si>
    <t>Names</t>
  </si>
  <si>
    <t>Bongi</t>
  </si>
  <si>
    <t>Dawn</t>
  </si>
  <si>
    <t>Sipho</t>
  </si>
  <si>
    <t>Gina</t>
  </si>
  <si>
    <t>George</t>
  </si>
  <si>
    <t>Andrew</t>
  </si>
  <si>
    <t>Willie</t>
  </si>
  <si>
    <t>Loanne</t>
  </si>
  <si>
    <t>Tina</t>
  </si>
  <si>
    <t>Leo</t>
  </si>
  <si>
    <t>Chloe</t>
  </si>
  <si>
    <t>Jabu</t>
  </si>
  <si>
    <t>Sibongile</t>
  </si>
  <si>
    <t>Piet</t>
  </si>
  <si>
    <t>Wimpie</t>
  </si>
  <si>
    <t>Koen</t>
  </si>
  <si>
    <t>Emily</t>
  </si>
  <si>
    <t>Sophia</t>
  </si>
  <si>
    <t>Emma</t>
  </si>
  <si>
    <t>Mariana</t>
  </si>
  <si>
    <t>Ava</t>
  </si>
  <si>
    <t>Isabella</t>
  </si>
  <si>
    <t>Michael</t>
  </si>
  <si>
    <t>Joel</t>
  </si>
  <si>
    <t>Ethan</t>
  </si>
  <si>
    <t>Daniel</t>
  </si>
  <si>
    <t>Mathew</t>
  </si>
  <si>
    <t>William</t>
  </si>
  <si>
    <t>Alex</t>
  </si>
  <si>
    <t>Benjamin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</si>
</sst>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medium">
        <color indexed="64"/>
      </right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</borders>
  <cellStyleXfs count="11">
    <xf numFmtId="0" fontId="0" fillId="0" borderId="0"/>
    <xf numFmtId="0" fontId="1" fillId="2" borderId="1" applyNumberFormat="0" applyFon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8" fillId="11" borderId="14" applyNumberFormat="0" applyAlignment="0" applyProtection="0"/>
    <xf numFmtId="0" fontId="9" fillId="12" borderId="14" applyNumberFormat="0" applyAlignment="0" applyProtection="0"/>
    <xf numFmtId="0" fontId="10" fillId="0" borderId="0" applyNumberFormat="0" applyFill="0" applyBorder="0" applyAlignment="0" applyProtection="0"/>
    <xf numFmtId="0" fontId="11" fillId="13" borderId="0" applyNumberFormat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10" xfId="0" applyBorder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0" fillId="8" borderId="0" xfId="0" applyFill="1"/>
    <xf numFmtId="0" fontId="0" fillId="8" borderId="3" xfId="0" applyFill="1" applyBorder="1"/>
    <xf numFmtId="0" fontId="0" fillId="8" borderId="5" xfId="0" applyFill="1" applyBorder="1"/>
    <xf numFmtId="0" fontId="0" fillId="8" borderId="4" xfId="0" applyFill="1" applyBorder="1"/>
    <xf numFmtId="0" fontId="3" fillId="5" borderId="0" xfId="4"/>
    <xf numFmtId="0" fontId="0" fillId="9" borderId="9" xfId="0" applyFill="1" applyBorder="1"/>
    <xf numFmtId="0" fontId="0" fillId="9" borderId="0" xfId="0" applyFill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6" fillId="7" borderId="2" xfId="6" applyFont="1" applyBorder="1"/>
    <xf numFmtId="0" fontId="6" fillId="4" borderId="2" xfId="3" applyFont="1" applyBorder="1"/>
    <xf numFmtId="0" fontId="6" fillId="2" borderId="2" xfId="1" applyFont="1" applyBorder="1"/>
    <xf numFmtId="0" fontId="5" fillId="7" borderId="2" xfId="6" applyFont="1" applyBorder="1"/>
    <xf numFmtId="0" fontId="5" fillId="4" borderId="2" xfId="3" applyFont="1" applyBorder="1"/>
    <xf numFmtId="0" fontId="5" fillId="2" borderId="2" xfId="1" applyFont="1" applyBorder="1"/>
    <xf numFmtId="0" fontId="6" fillId="3" borderId="15" xfId="2" applyFont="1" applyBorder="1"/>
    <xf numFmtId="0" fontId="0" fillId="9" borderId="16" xfId="0" applyFill="1" applyBorder="1"/>
    <xf numFmtId="0" fontId="7" fillId="6" borderId="17" xfId="5" applyFont="1" applyBorder="1"/>
    <xf numFmtId="0" fontId="6" fillId="4" borderId="18" xfId="3" applyFont="1" applyBorder="1"/>
    <xf numFmtId="0" fontId="7" fillId="6" borderId="19" xfId="5" applyFont="1" applyBorder="1"/>
    <xf numFmtId="0" fontId="6" fillId="3" borderId="18" xfId="2" applyFont="1" applyBorder="1"/>
    <xf numFmtId="0" fontId="6" fillId="4" borderId="20" xfId="3" applyFont="1" applyBorder="1"/>
    <xf numFmtId="0" fontId="0" fillId="9" borderId="21" xfId="0" applyFill="1" applyBorder="1"/>
    <xf numFmtId="0" fontId="7" fillId="6" borderId="22" xfId="5" applyFont="1" applyBorder="1"/>
    <xf numFmtId="0" fontId="8" fillId="11" borderId="14" xfId="7"/>
    <xf numFmtId="0" fontId="0" fillId="14" borderId="0" xfId="0" applyFill="1"/>
    <xf numFmtId="0" fontId="0" fillId="15" borderId="0" xfId="0" applyFill="1"/>
    <xf numFmtId="0" fontId="4" fillId="6" borderId="0" xfId="0" applyFont="1" applyFill="1"/>
    <xf numFmtId="0" fontId="9" fillId="12" borderId="14" xfId="8"/>
    <xf numFmtId="0" fontId="0" fillId="0" borderId="18" xfId="0" pivotButton="1" applyBorder="1"/>
    <xf numFmtId="0" fontId="0" fillId="0" borderId="19" xfId="0" applyBorder="1"/>
    <xf numFmtId="0" fontId="0" fillId="0" borderId="18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2" xfId="0" applyBorder="1"/>
    <xf numFmtId="0" fontId="10" fillId="8" borderId="0" xfId="9" applyFill="1"/>
    <xf numFmtId="0" fontId="8" fillId="11" borderId="24" xfId="7" applyBorder="1"/>
    <xf numFmtId="0" fontId="8" fillId="11" borderId="25" xfId="7" applyBorder="1"/>
    <xf numFmtId="0" fontId="0" fillId="0" borderId="27" xfId="0" applyBorder="1"/>
    <xf numFmtId="0" fontId="9" fillId="12" borderId="29" xfId="8" applyBorder="1"/>
    <xf numFmtId="0" fontId="0" fillId="0" borderId="28" xfId="0" applyBorder="1"/>
    <xf numFmtId="0" fontId="0" fillId="16" borderId="0" xfId="0" applyFill="1"/>
    <xf numFmtId="0" fontId="3" fillId="5" borderId="2" xfId="4" applyBorder="1"/>
    <xf numFmtId="0" fontId="9" fillId="12" borderId="2" xfId="8" applyBorder="1"/>
    <xf numFmtId="0" fontId="3" fillId="5" borderId="16" xfId="4" applyBorder="1"/>
    <xf numFmtId="14" fontId="0" fillId="0" borderId="0" xfId="0" applyNumberFormat="1" applyAlignment="1">
      <alignment horizontal="left"/>
    </xf>
    <xf numFmtId="0" fontId="0" fillId="0" borderId="9" xfId="0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16" borderId="26" xfId="0" applyFont="1" applyFill="1" applyBorder="1" applyAlignment="1">
      <alignment horizontal="center"/>
    </xf>
    <xf numFmtId="0" fontId="2" fillId="16" borderId="27" xfId="0" applyFont="1" applyFill="1" applyBorder="1" applyAlignment="1">
      <alignment horizontal="center"/>
    </xf>
    <xf numFmtId="0" fontId="10" fillId="8" borderId="0" xfId="9" applyFill="1" applyAlignment="1">
      <alignment horizontal="center" textRotation="45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10" borderId="0" xfId="0" applyFont="1" applyFill="1" applyAlignment="1">
      <alignment horizontal="center"/>
    </xf>
    <xf numFmtId="2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1" fillId="13" borderId="23" xfId="10" applyBorder="1" applyAlignment="1">
      <alignment horizontal="center"/>
    </xf>
    <xf numFmtId="0" fontId="11" fillId="13" borderId="35" xfId="10" applyBorder="1" applyAlignment="1">
      <alignment horizontal="center"/>
    </xf>
    <xf numFmtId="0" fontId="9" fillId="12" borderId="14" xfId="8" applyAlignment="1">
      <alignment horizontal="center"/>
    </xf>
    <xf numFmtId="0" fontId="11" fillId="13" borderId="33" xfId="10" applyBorder="1" applyAlignment="1">
      <alignment horizontal="center"/>
    </xf>
    <xf numFmtId="0" fontId="11" fillId="13" borderId="9" xfId="10" applyBorder="1" applyAlignment="1">
      <alignment horizontal="center"/>
    </xf>
    <xf numFmtId="0" fontId="11" fillId="13" borderId="0" xfId="10" applyBorder="1" applyAlignment="1">
      <alignment horizontal="center"/>
    </xf>
    <xf numFmtId="0" fontId="11" fillId="13" borderId="10" xfId="10" applyBorder="1" applyAlignment="1">
      <alignment horizontal="center"/>
    </xf>
    <xf numFmtId="0" fontId="11" fillId="13" borderId="11" xfId="10" applyBorder="1" applyAlignment="1">
      <alignment horizontal="center"/>
    </xf>
    <xf numFmtId="0" fontId="11" fillId="13" borderId="12" xfId="10" applyBorder="1" applyAlignment="1">
      <alignment horizontal="center"/>
    </xf>
    <xf numFmtId="0" fontId="11" fillId="13" borderId="13" xfId="10" applyBorder="1" applyAlignment="1">
      <alignment horizontal="center"/>
    </xf>
    <xf numFmtId="0" fontId="10" fillId="9" borderId="16" xfId="9" applyFill="1" applyBorder="1" applyAlignment="1">
      <alignment horizontal="center" textRotation="45"/>
    </xf>
    <xf numFmtId="0" fontId="10" fillId="9" borderId="0" xfId="9" applyFill="1" applyBorder="1" applyAlignment="1">
      <alignment horizontal="center" textRotation="45"/>
    </xf>
    <xf numFmtId="0" fontId="10" fillId="9" borderId="21" xfId="9" applyFill="1" applyBorder="1" applyAlignment="1">
      <alignment horizontal="center" textRotation="45"/>
    </xf>
    <xf numFmtId="0" fontId="2" fillId="10" borderId="23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3" fillId="13" borderId="0" xfId="10" applyFont="1" applyAlignment="1">
      <alignment horizontal="center"/>
    </xf>
    <xf numFmtId="0" fontId="13" fillId="13" borderId="33" xfId="10" applyFont="1" applyBorder="1" applyAlignment="1">
      <alignment horizontal="center"/>
    </xf>
    <xf numFmtId="0" fontId="13" fillId="13" borderId="23" xfId="10" applyFont="1" applyBorder="1" applyAlignment="1">
      <alignment horizontal="center"/>
    </xf>
    <xf numFmtId="0" fontId="13" fillId="13" borderId="34" xfId="10" applyFont="1" applyBorder="1" applyAlignment="1">
      <alignment horizontal="center"/>
    </xf>
    <xf numFmtId="0" fontId="13" fillId="13" borderId="35" xfId="1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11">
    <cellStyle name="20% - Accent5" xfId="6" builtinId="46"/>
    <cellStyle name="40% - Accent1" xfId="2" builtinId="31"/>
    <cellStyle name="60% - Accent2" xfId="3" builtinId="36"/>
    <cellStyle name="Accent2" xfId="10" builtinId="33"/>
    <cellStyle name="Calculation" xfId="8" builtinId="22"/>
    <cellStyle name="Good" xfId="4" builtinId="26"/>
    <cellStyle name="Input" xfId="7" builtinId="20"/>
    <cellStyle name="Neutral" xfId="5" builtinId="28"/>
    <cellStyle name="Normal" xfId="0" builtinId="0"/>
    <cellStyle name="Note" xfId="1" builtinId="10"/>
    <cellStyle name="Warning Text" xfId="9" builtinId="11"/>
  </cellStyles>
  <dxfs count="68"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4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006100"/>
      </font>
      <fill>
        <patternFill>
          <bgColor rgb="FFC6EFCE"/>
        </patternFill>
      </fill>
    </dxf>
    <dxf>
      <numFmt numFmtId="19" formatCode="yyyy/mm/dd"/>
      <alignment horizontal="center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yyyy/mm/dd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D000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hyperlink" Target="https://pixabay.com/en/yes-cards-spiral-many-commitment-68480/" TargetMode="Externa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Male and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49C-45BF-8D8E-370514F740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9C-45BF-8D8E-370514F7402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9F8937A-5FF3-4C1E-80C6-A82D2195C18E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</a:t>
                    </a:r>
                    <a:fld id="{38A911C4-C14F-4F57-A4BA-0448D974AE4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49C-45BF-8D8E-370514F7402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882DEDF-7D5D-4A9B-8554-73DDEA395D68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</a:t>
                    </a:r>
                    <a:fld id="{8BF2CADE-E0E8-413B-A158-73DB00FC7C6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49C-45BF-8D8E-370514F74027}"/>
                </c:ext>
              </c:extLst>
            </c:dLbl>
            <c:numFmt formatCode="General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'Calculations and Graphs'!$B$6:$C$6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'Calculations and Graphs'!$B$7:$C$7</c:f>
              <c:numCache>
                <c:formatCode>General</c:formatCode>
                <c:ptCount val="2"/>
                <c:pt idx="0">
                  <c:v>18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C-45BF-8D8E-370514F7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81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Aware of green jobs in aviaion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'Calculations and Graphs'!$B$28:$B$29</c:f>
              <c:strCache>
                <c:ptCount val="2"/>
                <c:pt idx="0">
                  <c:v>Yes; Aware</c:v>
                </c:pt>
                <c:pt idx="1">
                  <c:v>Not Aware</c:v>
                </c:pt>
              </c:strCache>
            </c:strRef>
          </c:cat>
          <c:val>
            <c:numRef>
              <c:f>'Calculations and Graphs'!$F$28:$F$29</c:f>
              <c:numCache>
                <c:formatCode>General</c:formatCode>
                <c:ptCount val="2"/>
                <c:pt idx="0">
                  <c:v>16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5-4B50-83DD-E5F78A784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012223"/>
        <c:axId val="273014143"/>
      </c:barChart>
      <c:catAx>
        <c:axId val="273012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Yes or</a:t>
                </a:r>
                <a:r>
                  <a:rPr lang="en-ZA" baseline="0"/>
                  <a:t> No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14143"/>
        <c:crosses val="autoZero"/>
        <c:auto val="1"/>
        <c:lblAlgn val="ctr"/>
        <c:lblOffset val="100"/>
        <c:noMultiLvlLbl val="0"/>
      </c:catAx>
      <c:valAx>
        <c:axId val="273014143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</a:t>
                </a:r>
                <a:r>
                  <a:rPr lang="en-ZA" baseline="0"/>
                  <a:t> of people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12223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on the sustainability of green jobs in South African Aviation(1-30).xlsx]Calculations and Graphs!PivotTable28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Concerns regarding green jobs in the aviation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5B9BD5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'Calculations and Graphs'!$K$28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'Calculations and Graphs'!$J$29:$J$30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'Calculations and Graphs'!$K$29:$K$30</c:f>
              <c:numCache>
                <c:formatCode>General</c:formatCode>
                <c:ptCount val="2"/>
                <c:pt idx="0">
                  <c:v>13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B-4E38-975A-46488D304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73007903"/>
        <c:axId val="571408015"/>
      </c:barChart>
      <c:catAx>
        <c:axId val="27300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08015"/>
        <c:crosses val="autoZero"/>
        <c:auto val="1"/>
        <c:lblAlgn val="ctr"/>
        <c:lblOffset val="100"/>
        <c:noMultiLvlLbl val="0"/>
      </c:catAx>
      <c:valAx>
        <c:axId val="571408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0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381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Aware of</a:t>
            </a:r>
            <a:r>
              <a:rPr lang="en-ZA" baseline="0"/>
              <a:t> increasing jobs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  <a:ext uri="{837473B0-CC2E-450A-ABE3-18F120FF3D39}">
                      <a1611:picAttrSrcUrl xmlns:a1611="http://schemas.microsoft.com/office/drawing/2016/11/main" r:id="rId4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5C78-4D99-8173-76AE4A0723CC}"/>
              </c:ext>
            </c:extLst>
          </c:dPt>
          <c:dPt>
            <c:idx val="1"/>
            <c:bubble3D val="0"/>
            <c:explosion val="1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C78-4D99-8173-76AE4A0723CC}"/>
              </c:ext>
            </c:extLst>
          </c:dPt>
          <c:dLbls>
            <c:dLbl>
              <c:idx val="0"/>
              <c:layout>
                <c:manualLayout>
                  <c:x val="8.055555555555545E-2"/>
                  <c:y val="-6.48148148148148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78-4D99-8173-76AE4A0723CC}"/>
                </c:ext>
              </c:extLst>
            </c:dLbl>
            <c:dLbl>
              <c:idx val="1"/>
              <c:layout>
                <c:manualLayout>
                  <c:x val="-3.8888888888888917E-2"/>
                  <c:y val="-8.79629629629630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78-4D99-8173-76AE4A0723CC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'Calculations and Graphs'!$B$49:$B$50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'Calculations and Graphs'!$F$49:$F$50</c:f>
              <c:numCache>
                <c:formatCode>General</c:formatCode>
                <c:ptCount val="2"/>
                <c:pt idx="0">
                  <c:v>17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8-4D99-8173-76AE4A072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on the sustainability of green jobs in South African Aviation(1-30).xlsx]Calculations and Graphs!PivotTable41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Employment is at risk with the introduction of greener jobs in this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5B9BD5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'Calculations and Graphs'!$K$49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'Calculations and Graphs'!$J$50:$J$51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'Calculations and Graphs'!$K$50:$K$51</c:f>
              <c:numCache>
                <c:formatCode>General</c:formatCode>
                <c:ptCount val="2"/>
                <c:pt idx="0">
                  <c:v>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C-4BC8-AF9A-73B302E80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562762495"/>
        <c:axId val="562750015"/>
      </c:barChart>
      <c:catAx>
        <c:axId val="56276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50015"/>
        <c:crosses val="autoZero"/>
        <c:auto val="1"/>
        <c:lblAlgn val="ctr"/>
        <c:lblOffset val="100"/>
        <c:noMultiLvlLbl val="0"/>
      </c:catAx>
      <c:valAx>
        <c:axId val="56275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6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381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>
                <a:solidFill>
                  <a:sysClr val="windowText" lastClr="000000"/>
                </a:solidFill>
              </a:rPr>
              <a:t>Need</a:t>
            </a:r>
            <a:r>
              <a:rPr lang="en-ZA" baseline="0">
                <a:solidFill>
                  <a:sysClr val="windowText" lastClr="000000"/>
                </a:solidFill>
              </a:rPr>
              <a:t> for specialised training</a:t>
            </a:r>
            <a:endParaRPr lang="en-ZA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'Calculations and Graphs'!$B$71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'Calculations and Graphs'!$F$71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8-4B4A-8304-9BEA8B35F365}"/>
            </c:ext>
          </c:extLst>
        </c:ser>
        <c:ser>
          <c:idx val="1"/>
          <c:order val="1"/>
          <c:tx>
            <c:strRef>
              <c:f>'Calculations and Graphs'!$B$72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'Calculations and Graphs'!$F$72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8-4B4A-8304-9BEA8B35F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219855"/>
        <c:axId val="583224175"/>
      </c:barChart>
      <c:catAx>
        <c:axId val="58321985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Yes or 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83224175"/>
        <c:crosses val="autoZero"/>
        <c:auto val="1"/>
        <c:lblAlgn val="ctr"/>
        <c:lblOffset val="100"/>
        <c:noMultiLvlLbl val="0"/>
      </c:catAx>
      <c:valAx>
        <c:axId val="58322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1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60000"/>
        <a:lumOff val="40000"/>
      </a:schemeClr>
    </a:solidFill>
    <a:ln w="381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Those who would</a:t>
            </a:r>
            <a:r>
              <a:rPr lang="en-ZA" baseline="0"/>
              <a:t> consider a job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C1-4BB5-B97B-A13FA91FFAD1}"/>
              </c:ext>
            </c:extLst>
          </c:dPt>
          <c:cat>
            <c:strRef>
              <c:f>'Calculations and Graphs'!$J$71:$J$72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'Calculations and Graphs'!$N$71:$N$72</c:f>
              <c:numCache>
                <c:formatCode>General</c:formatCode>
                <c:ptCount val="2"/>
                <c:pt idx="0">
                  <c:v>17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1-4BB5-B97B-A13FA91FF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32538624"/>
        <c:axId val="332549664"/>
      </c:barChart>
      <c:catAx>
        <c:axId val="332538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Yes or 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49664"/>
        <c:crosses val="autoZero"/>
        <c:auto val="1"/>
        <c:lblAlgn val="ctr"/>
        <c:lblOffset val="100"/>
        <c:noMultiLvlLbl val="0"/>
      </c:catAx>
      <c:valAx>
        <c:axId val="33254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</a:t>
                </a:r>
                <a:r>
                  <a:rPr lang="en-ZA" baseline="0"/>
                  <a:t> of people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3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>
                <a:solidFill>
                  <a:sysClr val="windowText" lastClr="000000"/>
                </a:solidFill>
              </a:rPr>
              <a:t>How</a:t>
            </a:r>
            <a:r>
              <a:rPr lang="en-ZA" baseline="0">
                <a:solidFill>
                  <a:sysClr val="windowText" lastClr="000000"/>
                </a:solidFill>
              </a:rPr>
              <a:t> individuals vision the future</a:t>
            </a:r>
            <a:endParaRPr lang="en-ZA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3124572611791968E-2"/>
          <c:y val="0.13711654122367664"/>
          <c:w val="0.70788126933676454"/>
          <c:h val="0.51803648258492085"/>
        </c:manualLayout>
      </c:layout>
      <c:bar3D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F8D0-46DF-A6A1-93FEC8BBA19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F8D0-46DF-A6A1-93FEC8BBA19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F8D0-46DF-A6A1-93FEC8BBA198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F8D0-46DF-A6A1-93FEC8BBA1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'Calculations and Graphs'!$W$43:$W$46</c:f>
              <c:strCache>
                <c:ptCount val="4"/>
                <c:pt idx="0">
                  <c:v>Count of remaining level</c:v>
                </c:pt>
                <c:pt idx="1">
                  <c:v>Count of Steadily growing</c:v>
                </c:pt>
                <c:pt idx="2">
                  <c:v>Count of Rapid expansion</c:v>
                </c:pt>
                <c:pt idx="3">
                  <c:v>Count of declining</c:v>
                </c:pt>
              </c:strCache>
            </c:strRef>
          </c:cat>
          <c:val>
            <c:numRef>
              <c:f>'Calculations and Graphs'!$Y$43:$Y$46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0-46DF-A6A1-93FEC8BBA1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27989408"/>
        <c:axId val="627989888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'Calculations and Graphs'!$W$43:$W$46</c15:sqref>
                        </c15:formulaRef>
                      </c:ext>
                    </c:extLst>
                    <c:strCache>
                      <c:ptCount val="4"/>
                      <c:pt idx="0">
                        <c:v>Count of remaining level</c:v>
                      </c:pt>
                      <c:pt idx="1">
                        <c:v>Count of Steadily growing</c:v>
                      </c:pt>
                      <c:pt idx="2">
                        <c:v>Count of Rapid expansion</c:v>
                      </c:pt>
                      <c:pt idx="3">
                        <c:v>Count of declining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'Calculations and Graphs'!$X$43:$X$46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8D0-46DF-A6A1-93FEC8BBA198}"/>
                  </c:ext>
                </c:extLst>
              </c15:ser>
            </c15:filteredBarSeries>
          </c:ext>
        </c:extLst>
      </c:bar3DChart>
      <c:catAx>
        <c:axId val="62798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89888"/>
        <c:crosses val="autoZero"/>
        <c:auto val="1"/>
        <c:lblAlgn val="ctr"/>
        <c:lblOffset val="100"/>
        <c:noMultiLvlLbl val="0"/>
      </c:catAx>
      <c:valAx>
        <c:axId val="6279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ysClr val="windowText" lastClr="000000"/>
                    </a:solidFill>
                  </a:rPr>
                  <a:t>Number of</a:t>
                </a:r>
                <a:r>
                  <a:rPr lang="en-ZA" baseline="0">
                    <a:solidFill>
                      <a:sysClr val="windowText" lastClr="000000"/>
                    </a:solidFill>
                  </a:rPr>
                  <a:t> people</a:t>
                </a:r>
                <a:endParaRPr lang="en-ZA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4640709867404027E-2"/>
              <c:y val="0.257564568331988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8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Aware of Green job concept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Aware of Green job concept</a:t>
          </a:r>
        </a:p>
      </cx:txPr>
    </cx:title>
    <cx:plotArea>
      <cx:plotAreaRegion>
        <cx:series layoutId="funnel" uniqueId="{913D31F7-7EC6-4F34-9C97-A66D7D6C56AD}">
          <cx:dataLabels>
            <cx:visibility seriesName="0" categoryName="0" value="1"/>
          </cx:dataLabels>
          <cx:dataId val="0"/>
        </cx:series>
      </cx:plotAreaRegion>
      <cx:axis id="0">
        <cx:catScaling gapWidth="0.150000006"/>
        <cx:title>
          <cx:tx>
            <cx:txData>
              <cx:v>Gender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Gender</a:t>
              </a:r>
            </a:p>
          </cx:txPr>
        </cx:title>
        <cx:tickLabels/>
      </cx:axis>
    </cx:plotArea>
  </cx:chart>
  <cx:spPr>
    <a:ln w="38100"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8.xml"/><Relationship Id="rId4" Type="http://schemas.openxmlformats.org/officeDocument/2006/relationships/chart" Target="../charts/chart3.xml"/><Relationship Id="rId9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45422</xdr:colOff>
      <xdr:row>8</xdr:row>
      <xdr:rowOff>177278</xdr:rowOff>
    </xdr:from>
    <xdr:to>
      <xdr:col>6</xdr:col>
      <xdr:colOff>498627</xdr:colOff>
      <xdr:row>23</xdr:row>
      <xdr:rowOff>137626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8F0495-0766-7797-2C36-288F700B4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209769</xdr:colOff>
      <xdr:row>10</xdr:row>
      <xdr:rowOff>34341</xdr:rowOff>
    </xdr:from>
    <xdr:to>
      <xdr:col>14</xdr:col>
      <xdr:colOff>569789</xdr:colOff>
      <xdr:row>23</xdr:row>
      <xdr:rowOff>65529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95AA468-D3A3-BCE7-579A-A81F9C7135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1394" y="2139366"/>
              <a:ext cx="4360520" cy="2507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83728</xdr:colOff>
      <xdr:row>30</xdr:row>
      <xdr:rowOff>168529</xdr:rowOff>
    </xdr:from>
    <xdr:to>
      <xdr:col>6</xdr:col>
      <xdr:colOff>500063</xdr:colOff>
      <xdr:row>45</xdr:row>
      <xdr:rowOff>31185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9F2115-4B38-3C5C-A5CC-8A3C9EB0E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300602</xdr:colOff>
      <xdr:row>30</xdr:row>
      <xdr:rowOff>174697</xdr:rowOff>
    </xdr:from>
    <xdr:to>
      <xdr:col>14</xdr:col>
      <xdr:colOff>643501</xdr:colOff>
      <xdr:row>45</xdr:row>
      <xdr:rowOff>61092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A32CD4-31E7-4284-8E9F-6D7A63D60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72205</xdr:colOff>
      <xdr:row>51</xdr:row>
      <xdr:rowOff>137805</xdr:rowOff>
    </xdr:from>
    <xdr:to>
      <xdr:col>6</xdr:col>
      <xdr:colOff>488540</xdr:colOff>
      <xdr:row>66</xdr:row>
      <xdr:rowOff>461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8CA874-385F-817D-450F-DA2B30A31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460886</xdr:colOff>
      <xdr:row>51</xdr:row>
      <xdr:rowOff>168992</xdr:rowOff>
    </xdr:from>
    <xdr:to>
      <xdr:col>14</xdr:col>
      <xdr:colOff>1106129</xdr:colOff>
      <xdr:row>66</xdr:row>
      <xdr:rowOff>116144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767B6A-978D-44CB-BA6D-3532876F3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125976</xdr:colOff>
      <xdr:row>73</xdr:row>
      <xdr:rowOff>84033</xdr:rowOff>
    </xdr:from>
    <xdr:to>
      <xdr:col>6</xdr:col>
      <xdr:colOff>542311</xdr:colOff>
      <xdr:row>87</xdr:row>
      <xdr:rowOff>138725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49E4A08-79F2-7E73-0641-2F4CFEE9A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125250</xdr:colOff>
      <xdr:row>72</xdr:row>
      <xdr:rowOff>158400</xdr:rowOff>
    </xdr:from>
    <xdr:to>
      <xdr:col>14</xdr:col>
      <xdr:colOff>707250</xdr:colOff>
      <xdr:row>87</xdr:row>
      <xdr:rowOff>89100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EB1E91-CBF8-27C4-9510-1E19F1927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746553</xdr:colOff>
      <xdr:row>0</xdr:row>
      <xdr:rowOff>0</xdr:rowOff>
    </xdr:from>
    <xdr:to>
      <xdr:col>26</xdr:col>
      <xdr:colOff>5148</xdr:colOff>
      <xdr:row>2</xdr:row>
      <xdr:rowOff>177940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AC33B8E-FB1A-45C8-A7DA-0FE808CC7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77296" y="0"/>
          <a:ext cx="17595507" cy="615575"/>
        </a:xfrm>
        <a:prstGeom prst="rect">
          <a:avLst/>
        </a:prstGeom>
      </xdr:spPr>
    </xdr:pic>
    <xdr:clientData/>
  </xdr:twoCellAnchor>
  <xdr:twoCellAnchor>
    <xdr:from>
      <xdr:col>19</xdr:col>
      <xdr:colOff>49266</xdr:colOff>
      <xdr:row>73</xdr:row>
      <xdr:rowOff>65690</xdr:rowOff>
    </xdr:from>
    <xdr:to>
      <xdr:col>25</xdr:col>
      <xdr:colOff>2239662</xdr:colOff>
      <xdr:row>87</xdr:row>
      <xdr:rowOff>123168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6288418-3386-4DA5-ABC5-A5E455B70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un Leukemans" refreshedDate="45417.545313541668" createdVersion="8" refreshedVersion="8" minRefreshableVersion="3" recordCount="2" xr:uid="{F4BAC3D4-CC89-4417-9967-DD5998B65EFD}">
  <cacheSource type="worksheet">
    <worksheetSource ref="B36:D38" sheet="Survey results"/>
  </cacheSource>
  <cacheFields count="2">
    <cacheField name="Gender" numFmtId="0">
      <sharedItems count="2">
        <s v="Male"/>
        <s v="Female"/>
      </sharedItems>
    </cacheField>
    <cacheField name="30" numFmtId="0">
      <sharedItems containsSemiMixedTypes="0" containsString="0" containsNumber="1" containsInteger="1" minValue="12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un Leukemans" refreshedDate="45417.569771527778" createdVersion="8" refreshedVersion="8" minRefreshableVersion="3" recordCount="30" xr:uid="{E7065821-9515-4FF8-B113-50DB99DD24B1}">
  <cacheSource type="worksheet">
    <worksheetSource name="Table1"/>
  </cacheSource>
  <cacheFields count="16">
    <cacheField name="ID" numFmtId="1">
      <sharedItems containsSemiMixedTypes="0" containsString="0" containsNumber="1" containsInteger="1" minValue="1" maxValue="30"/>
    </cacheField>
    <cacheField name="Date completed" numFmtId="14">
      <sharedItems containsSemiMixedTypes="0" containsNonDate="0" containsDate="1" containsString="0" minDate="2024-04-28T00:00:00" maxDate="2024-05-01T16:08:42"/>
    </cacheField>
    <cacheField name="Gender" numFmtId="0">
      <sharedItems/>
    </cacheField>
    <cacheField name="Aware with the concept of &quot;Green Jobs&quot;" numFmtId="0">
      <sharedItems/>
    </cacheField>
    <cacheField name="Aware of any green jobs in the aviation industry" numFmtId="0">
      <sharedItems/>
    </cacheField>
    <cacheField name=" Concerns regarding green jobs in the aviation industry" numFmtId="0">
      <sharedItems count="2">
        <s v="No"/>
        <s v="Yes"/>
      </sharedItems>
    </cacheField>
    <cacheField name="Aware of the increasing green job availibility in the aviation industry" numFmtId="0">
      <sharedItems/>
    </cacheField>
    <cacheField name=" Employment is at risk with the introduction of greener jobs in this sector" numFmtId="0">
      <sharedItems/>
    </cacheField>
    <cacheField name="Need for specialized education and training programs focusing on green jobs in aviation in South Africa?_x000a_" numFmtId="0">
      <sharedItems containsBlank="1"/>
    </cacheField>
    <cacheField name=" Skills or qualifications essential for individuals pursuing green jobs in the aviation industry" numFmtId="0">
      <sharedItems/>
    </cacheField>
    <cacheField name=" Specific green job roles do you think are in high demand or will be in the future within the South African aviation industry " numFmtId="0">
      <sharedItems/>
    </cacheField>
    <cacheField name=" Strong technological advancements regarding greener sustainability in this sector (Specifically in South Africa)." numFmtId="0">
      <sharedItems/>
    </cacheField>
    <cacheField name="Consider a job opportunity in this sector?" numFmtId="0">
      <sharedItems/>
    </cacheField>
    <cacheField name=" Importantance collaboration between government, stakeholders and educational institutions is in promoting awareness of green jobs in South Africa" numFmtId="0">
      <sharedItems containsBlank="1"/>
    </cacheField>
    <cacheField name=" Barriers or challenges to the implementation of green initiatives and the creation of green job opportunities in the aviation industry" numFmtId="0">
      <sharedItems/>
    </cacheField>
    <cacheField name=" The future of green job opportunities in the aviation industry evolving in South Africa over the next deca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un Leukemans" refreshedDate="45417.576624884263" createdVersion="8" refreshedVersion="8" minRefreshableVersion="3" recordCount="30" xr:uid="{915BF2FE-16D3-44A9-B041-C32E5C912F17}">
  <cacheSource type="worksheet">
    <worksheetSource name="Table1"/>
  </cacheSource>
  <cacheFields count="16">
    <cacheField name="ID" numFmtId="1">
      <sharedItems containsSemiMixedTypes="0" containsString="0" containsNumber="1" containsInteger="1" minValue="1" maxValue="30"/>
    </cacheField>
    <cacheField name="Date completed" numFmtId="14">
      <sharedItems containsSemiMixedTypes="0" containsNonDate="0" containsDate="1" containsString="0" minDate="2024-04-28T00:00:00" maxDate="2024-05-01T16:08:42"/>
    </cacheField>
    <cacheField name="Gender" numFmtId="0">
      <sharedItems/>
    </cacheField>
    <cacheField name="Aware with the concept of &quot;Green Jobs&quot;" numFmtId="0">
      <sharedItems/>
    </cacheField>
    <cacheField name="Aware of any green jobs in the aviation industry" numFmtId="0">
      <sharedItems/>
    </cacheField>
    <cacheField name=" Concerns regarding green jobs in the aviation industry" numFmtId="0">
      <sharedItems/>
    </cacheField>
    <cacheField name="Aware of the increasing green job availibility in the aviation industry" numFmtId="0">
      <sharedItems/>
    </cacheField>
    <cacheField name=" Employment is at risk with the introduction of greener jobs in this sector" numFmtId="0">
      <sharedItems count="2">
        <s v="Yes"/>
        <s v="No"/>
      </sharedItems>
    </cacheField>
    <cacheField name="Need for specialized education and training programs focusing on green jobs in aviation in South Africa?_x000a_" numFmtId="0">
      <sharedItems containsBlank="1"/>
    </cacheField>
    <cacheField name=" Skills or qualifications essential for individuals pursuing green jobs in the aviation industry" numFmtId="0">
      <sharedItems/>
    </cacheField>
    <cacheField name=" Specific green job roles do you think are in high demand or will be in the future within the South African aviation industry " numFmtId="0">
      <sharedItems/>
    </cacheField>
    <cacheField name=" Strong technological advancements regarding greener sustainability in this sector (Specifically in South Africa)." numFmtId="0">
      <sharedItems/>
    </cacheField>
    <cacheField name="Consider a job opportunity in this sector?" numFmtId="0">
      <sharedItems/>
    </cacheField>
    <cacheField name=" Importantance collaboration between government, stakeholders and educational institutions is in promoting awareness of green jobs in South Africa" numFmtId="0">
      <sharedItems containsBlank="1"/>
    </cacheField>
    <cacheField name=" Barriers or challenges to the implementation of green initiatives and the creation of green job opportunities in the aviation industry" numFmtId="0">
      <sharedItems/>
    </cacheField>
    <cacheField name=" The future of green job opportunities in the aviation industry evolving in South Africa over the next deca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18"/>
  </r>
  <r>
    <x v="1"/>
    <n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d v="2024-04-28T00:00:00"/>
    <s v="Male"/>
    <s v="No"/>
    <s v="No"/>
    <x v="0"/>
    <s v="No"/>
    <s v="Yes"/>
    <s v="Yes"/>
    <s v="Technical skills such as Engineering"/>
    <s v="Green technology researcher;Sustainable engineer;Environmental compliance offier;"/>
    <s v="No"/>
    <s v="Yes"/>
    <s v="Extremely important"/>
    <s v="High initial investment costs;Lack of government support;Limited public awarenss and demand in this industry;"/>
    <s v="Remaining level"/>
  </r>
  <r>
    <n v="2"/>
    <d v="2024-04-28T15:29:31"/>
    <s v="Female"/>
    <s v="Yes"/>
    <s v="Yes"/>
    <x v="0"/>
    <s v="Yes"/>
    <s v="Yes"/>
    <s v="Yes"/>
    <s v="Technical skills such as Engineering"/>
    <s v="Pilot;Sustainable engineer;Green technology researcher;Environmental compliance offier;"/>
    <s v="Yes"/>
    <s v="No"/>
    <s v="Extremely important"/>
    <s v="High initial investment costs;"/>
    <s v="Remaining level"/>
  </r>
  <r>
    <n v="3"/>
    <d v="2024-04-28T16:54:05"/>
    <s v="Male"/>
    <s v="Yes"/>
    <s v="No"/>
    <x v="0"/>
    <s v="No"/>
    <s v="No"/>
    <s v="Yes"/>
    <s v="Technical skills such as Engineering"/>
    <s v="Green technology researcher;Sustainable engineer;Environmental compliance offier;"/>
    <s v="No"/>
    <s v="Yes"/>
    <s v="Extremely important"/>
    <s v="Lack of government support;High initial investment costs;Limited public awarenss and demand in this industry;"/>
    <s v="Steadily growing"/>
  </r>
  <r>
    <n v="4"/>
    <d v="2024-04-29T14:57:11"/>
    <s v="Female"/>
    <s v="Yes"/>
    <s v="Yes"/>
    <x v="1"/>
    <s v="No"/>
    <s v="Yes"/>
    <s v="Yes"/>
    <s v="Problem-solving skills"/>
    <s v="Green technology researcher;Pilot;"/>
    <s v="Yes"/>
    <s v="No"/>
    <s v="Extremely important"/>
    <s v="Lack of government support;"/>
    <s v="Steadily growing"/>
  </r>
  <r>
    <n v="5"/>
    <d v="2024-04-30T07:59:42"/>
    <s v="Male"/>
    <s v="Yes"/>
    <s v="Yes"/>
    <x v="0"/>
    <s v="No"/>
    <s v="No"/>
    <s v="Yes"/>
    <s v="Technical skills such as Engineering"/>
    <s v="Sustainable engineer;Green technology researcher;Environmental compliance offier;"/>
    <s v="No"/>
    <s v="No"/>
    <s v="Extremely important"/>
    <s v="Lack of government support;High initial investment costs;Limited public awarenss and demand in this industry;"/>
    <s v="Remaining level"/>
  </r>
  <r>
    <n v="6"/>
    <d v="2024-04-30T08:08:07"/>
    <s v="Male"/>
    <s v="Yes"/>
    <s v="Yes"/>
    <x v="0"/>
    <s v="Yes"/>
    <s v="Yes"/>
    <m/>
    <s v="Technical skills such as Engineering;Communication;"/>
    <s v="Pilot;"/>
    <s v="Yes"/>
    <s v="Yes"/>
    <s v="Extremely important"/>
    <s v="Lack of government support;"/>
    <s v="Rapid expansion"/>
  </r>
  <r>
    <n v="7"/>
    <d v="2024-05-01T14:20:43"/>
    <s v="Male"/>
    <s v="No"/>
    <s v="Yes"/>
    <x v="0"/>
    <s v="Yes"/>
    <s v="Yes"/>
    <s v="Yes"/>
    <s v="Technical skills such as Engineering;Problem-solving skills;Communication;"/>
    <s v="Pilot;Sustainable engineer;Green technology researcher;Environmental compliance offier;"/>
    <s v="Yes"/>
    <s v="Yes"/>
    <s v="Extremely important"/>
    <s v="Lack of government support;High initial investment costs;"/>
    <s v="Rapid expansion"/>
  </r>
  <r>
    <n v="8"/>
    <d v="2024-05-01T14:21:23"/>
    <s v="Female"/>
    <s v="Yes"/>
    <s v="No"/>
    <x v="1"/>
    <s v="Yes"/>
    <s v="Yes"/>
    <s v="Yes"/>
    <s v="Technical skills such as Engineering;Communication;Problem-solving skills;"/>
    <s v="Pilot;Green technology researcher;Sustainable engineer;"/>
    <s v="Yes"/>
    <s v="Yes"/>
    <s v="Neutral"/>
    <s v="Lack of government support;Limited public awarenss and demand in this industry;"/>
    <s v="Steadily growing"/>
  </r>
  <r>
    <n v="9"/>
    <d v="2024-05-01T14:21:56"/>
    <s v="Female"/>
    <s v="Yes"/>
    <s v="No"/>
    <x v="1"/>
    <s v="No"/>
    <s v="Yes"/>
    <s v="Yes"/>
    <s v="Problem-solving skills;Technical skills such as Engineering;"/>
    <s v="Sustainable engineer;Green technology researcher;"/>
    <s v="Yes"/>
    <s v="No"/>
    <s v="Extremely important"/>
    <s v="High initial investment costs;Limited public awarenss and demand in this industry;"/>
    <s v="Remaining level"/>
  </r>
  <r>
    <n v="10"/>
    <d v="2024-05-01T14:22:24"/>
    <s v="Male"/>
    <s v="Yes"/>
    <s v="No"/>
    <x v="1"/>
    <s v="No"/>
    <s v="Yes"/>
    <s v="Yes"/>
    <s v="Technical skills such as Engineering;Problem-solving skills;"/>
    <s v="Pilot;Environmental compliance offier;"/>
    <s v="No"/>
    <s v="Yes"/>
    <s v="Neutral"/>
    <s v="Lack of government support;Limited public awarenss and demand in this industry;"/>
    <s v="Rapid expansion"/>
  </r>
  <r>
    <n v="11"/>
    <d v="2024-05-01T14:22:55"/>
    <s v="Female"/>
    <s v="Yes"/>
    <s v="Yes"/>
    <x v="1"/>
    <s v="Yes"/>
    <s v="Yes"/>
    <s v="Yes"/>
    <s v="Leadership skills;Communication;"/>
    <s v="Sustainable engineer;Environmental compliance offier;"/>
    <s v="Yes"/>
    <s v="No"/>
    <s v="Neutral"/>
    <s v="Lack of government support;Limited public awarenss and demand in this industry;"/>
    <s v="Remaining level"/>
  </r>
  <r>
    <n v="12"/>
    <d v="2024-05-01T14:23:57"/>
    <s v="Male"/>
    <s v="No"/>
    <s v="Yes"/>
    <x v="0"/>
    <s v="Yes"/>
    <s v="Yes"/>
    <s v="No"/>
    <s v="Technical skills such as Engineering;Problem-solving skills;"/>
    <s v="Pilot;Green technology researcher;"/>
    <s v="Yes"/>
    <s v="No"/>
    <s v="Neutral"/>
    <s v="High initial investment costs;"/>
    <s v="Declinig"/>
  </r>
  <r>
    <n v="13"/>
    <d v="2024-05-01T14:24:23"/>
    <s v="Female"/>
    <s v="Yes"/>
    <s v="Yes"/>
    <x v="0"/>
    <s v="Yes"/>
    <s v="Yes"/>
    <s v="No"/>
    <s v="Technical skills such as Engineering;Communication;Problem-solving skills;"/>
    <s v="Pilot;Environmental compliance offier;Green technology researcher;"/>
    <s v="Yes"/>
    <s v="No"/>
    <s v="Extremely important"/>
    <s v="Lack of government support;Limited public awarenss and demand in this industry;"/>
    <s v="Rapid expansion"/>
  </r>
  <r>
    <n v="14"/>
    <d v="2024-05-01T14:24:52"/>
    <s v="Male"/>
    <s v="No"/>
    <s v="Yes"/>
    <x v="0"/>
    <s v="Yes"/>
    <s v="Yes"/>
    <s v="No"/>
    <s v="Technical skills such as Engineering;Communication;Leadership skills;Problem-solving skills;"/>
    <s v="Pilot;Sustainable engineer;Green technology researcher;Environmental compliance offier;"/>
    <s v="Yes"/>
    <s v="Yes"/>
    <s v="Neutral"/>
    <s v="Lack of government support;High initial investment costs;Limited public awarenss and demand in this industry;"/>
    <s v="Steadily growing"/>
  </r>
  <r>
    <n v="15"/>
    <d v="2024-05-01T14:25:23"/>
    <s v="Male"/>
    <s v="No"/>
    <s v="No"/>
    <x v="0"/>
    <s v="No"/>
    <s v="Yes"/>
    <s v="Yes"/>
    <s v="Technical skills such as Engineering;Leadership skills;"/>
    <s v="Pilot;"/>
    <s v="No"/>
    <s v="Yes"/>
    <s v="Neutral"/>
    <s v="Lack of government support;"/>
    <s v="Steadily growing"/>
  </r>
  <r>
    <n v="16"/>
    <d v="2024-05-01T15:41:33"/>
    <s v="Male"/>
    <s v="No"/>
    <s v="No"/>
    <x v="1"/>
    <s v="No"/>
    <s v="Yes"/>
    <s v="No"/>
    <s v="Technical skills such as Engineering;Communication;Problem-solving skills;"/>
    <s v="Green technology researcher;Sustainable engineer;"/>
    <s v="Yes"/>
    <s v="No"/>
    <s v="Extremely not important"/>
    <s v="Lack of government support;"/>
    <s v="Remaining level"/>
  </r>
  <r>
    <n v="17"/>
    <d v="2024-05-01T15:42:22"/>
    <s v="Female"/>
    <s v="Yes"/>
    <s v="Yes"/>
    <x v="1"/>
    <s v="Yes"/>
    <s v="Yes"/>
    <s v="Yes"/>
    <s v="Technical skills such as Engineering;Problem-solving skills;"/>
    <s v="Pilot;Environmental compliance offier;"/>
    <s v="Yes"/>
    <s v="Yes"/>
    <s v="Neutral"/>
    <s v="Lack of government support;"/>
    <s v="Remaining level"/>
  </r>
  <r>
    <n v="18"/>
    <d v="2024-05-01T15:42:53"/>
    <s v="Male"/>
    <s v="Yes"/>
    <s v="No"/>
    <x v="1"/>
    <s v="No"/>
    <s v="Yes"/>
    <s v="Yes"/>
    <s v="Communication;Technical skills such as Engineering;"/>
    <s v="Pilot;Environmental compliance offier;"/>
    <s v="No"/>
    <s v="Yes"/>
    <s v="Extremely important"/>
    <s v="Lack of government support;Limited public awarenss and demand in this industry;"/>
    <s v="Steadily growing"/>
  </r>
  <r>
    <n v="19"/>
    <d v="2024-05-01T15:43:27"/>
    <s v="Male"/>
    <s v="Yes"/>
    <s v="No"/>
    <x v="1"/>
    <s v="No"/>
    <s v="Yes"/>
    <s v="No"/>
    <s v="Technical skills such as Engineering;Communication;Leadership skills;"/>
    <s v="Sustainable engineer;Green technology researcher;"/>
    <s v="No"/>
    <s v="No"/>
    <s v="Neutral"/>
    <s v="High initial investment costs;"/>
    <s v="Steadily growing"/>
  </r>
  <r>
    <n v="20"/>
    <d v="2024-05-01T15:43:53"/>
    <s v="Female"/>
    <s v="Yes"/>
    <s v="No"/>
    <x v="1"/>
    <s v="No"/>
    <s v="Yes"/>
    <s v="No"/>
    <s v="Technical skills such as Engineering;Leadership skills;Problem-solving skills;"/>
    <s v="Pilot;Environmental compliance offier;"/>
    <s v="Yes"/>
    <s v="Yes"/>
    <s v="Extremely important"/>
    <s v="High initial investment costs;Lack of government support;"/>
    <s v="Steadily growing"/>
  </r>
  <r>
    <n v="21"/>
    <d v="2024-05-01T15:44:18"/>
    <s v="Male"/>
    <s v="Yes"/>
    <s v="Yes"/>
    <x v="1"/>
    <s v="Yes"/>
    <s v="No"/>
    <s v="Yes"/>
    <s v="Communication;Technical skills such as Engineering;"/>
    <s v="Sustainable engineer;Pilot;"/>
    <s v="No"/>
    <s v="No"/>
    <s v="Extremely important"/>
    <s v="High initial investment costs;Lack of government support;"/>
    <s v="Steadily growing"/>
  </r>
  <r>
    <n v="22"/>
    <d v="2024-05-01T15:45:01"/>
    <s v="Male"/>
    <s v="No"/>
    <s v="Yes"/>
    <x v="0"/>
    <s v="Yes"/>
    <s v="Yes"/>
    <s v="Yes"/>
    <s v="Technical skills such as Engineering;Communication;"/>
    <s v="Pilot;Sustainable engineer;"/>
    <s v="No"/>
    <s v="Yes"/>
    <s v="Neutral"/>
    <s v="Lack of government support;"/>
    <s v="Rapid expansion"/>
  </r>
  <r>
    <n v="23"/>
    <d v="2024-05-01T15:45:24"/>
    <s v="Female"/>
    <s v="Yes"/>
    <s v="No"/>
    <x v="1"/>
    <s v="No"/>
    <s v="Yes"/>
    <s v="Yes"/>
    <s v="Technical skills such as Engineering;Communication;"/>
    <s v="Green technology researcher;Environmental compliance offier;"/>
    <s v="Yes"/>
    <s v="No"/>
    <s v="Neutral"/>
    <s v="Lack of government support;Limited public awarenss and demand in this industry;"/>
    <s v="Rapid expansion"/>
  </r>
  <r>
    <n v="24"/>
    <d v="2024-05-01T15:45:47"/>
    <s v="Male"/>
    <s v="Yes"/>
    <s v="No"/>
    <x v="1"/>
    <s v="Yes"/>
    <s v="Yes"/>
    <s v="No"/>
    <s v="Technical skills such as Engineering;Problem-solving skills;"/>
    <s v="Pilot;"/>
    <s v="No"/>
    <s v="Yes"/>
    <s v="Extremely important"/>
    <s v="Limited public awarenss and demand in this industry;Lack of government support;"/>
    <s v="Rapid expansion"/>
  </r>
  <r>
    <n v="25"/>
    <d v="2024-05-01T15:46:08"/>
    <s v="Female"/>
    <s v="No"/>
    <s v="Yes"/>
    <x v="0"/>
    <s v="Yes"/>
    <s v="No"/>
    <s v="No"/>
    <s v="Technical skills such as Engineering;Problem-solving skills;"/>
    <s v="Pilot;Environmental compliance offier;"/>
    <s v="Yes"/>
    <s v="No"/>
    <s v="Extremely important"/>
    <s v="Limited public awarenss and demand in this industry;"/>
    <s v="Rapid expansion"/>
  </r>
  <r>
    <n v="26"/>
    <d v="2024-05-01T15:46:29"/>
    <s v="Male"/>
    <s v="Yes"/>
    <s v="Yes"/>
    <x v="1"/>
    <s v="Yes"/>
    <s v="Yes"/>
    <s v="No"/>
    <s v="Technical skills such as Engineering;Leadership skills;"/>
    <s v="Sustainable engineer;Environmental compliance offier;"/>
    <s v="Yes"/>
    <s v="Yes"/>
    <s v="Extremely important"/>
    <s v="High initial investment costs;Lack of government support;"/>
    <s v="Steadily growing"/>
  </r>
  <r>
    <n v="27"/>
    <d v="2024-05-01T16:07:43"/>
    <s v="Female"/>
    <s v="Yes"/>
    <s v="No"/>
    <x v="1"/>
    <s v="Yes"/>
    <s v="Yes"/>
    <s v="Yes"/>
    <s v="Technical skills such as Engineering;Problem-solving skills;"/>
    <s v="Pilot;Environmental compliance offier;"/>
    <s v="Yes"/>
    <s v="Yes"/>
    <m/>
    <s v="Lack of government support;"/>
    <s v="Remaining level"/>
  </r>
  <r>
    <n v="28"/>
    <d v="2024-05-01T16:08:00"/>
    <s v="Male"/>
    <s v="Yes"/>
    <s v="No"/>
    <x v="1"/>
    <s v="No"/>
    <s v="No"/>
    <s v="Yes"/>
    <s v="Communication;Leadership skills;"/>
    <s v="Sustainable engineer;Pilot;"/>
    <s v="No"/>
    <s v="Yes"/>
    <s v="Extremely important"/>
    <s v="Lack of government support;Limited public awarenss and demand in this industry;"/>
    <s v="Rapid expansion"/>
  </r>
  <r>
    <n v="29"/>
    <d v="2024-05-01T16:08:24"/>
    <s v="Male"/>
    <s v="Yes"/>
    <s v="Yes"/>
    <x v="0"/>
    <s v="Yes"/>
    <s v="Yes"/>
    <s v="Yes"/>
    <s v="Technical skills such as Engineering;Problem-solving skills;"/>
    <s v="Pilot;Green technology researcher;"/>
    <s v="Yes"/>
    <s v="Yes"/>
    <s v="Neutral"/>
    <s v="Lack of government support;High initial investment costs;"/>
    <s v="Rapid expansion"/>
  </r>
  <r>
    <n v="30"/>
    <d v="2024-05-01T16:08:42"/>
    <s v="Female"/>
    <s v="Yes"/>
    <s v="Yes"/>
    <x v="1"/>
    <s v="Yes"/>
    <s v="Yes"/>
    <s v="Yes"/>
    <s v="Technical skills such as Engineering;Communication;Leadership skills;"/>
    <s v="Pilot;Green technology researcher;"/>
    <s v="Yes"/>
    <s v="Yes"/>
    <s v="Extremely important"/>
    <s v="Lack of government support;Limited public awarenss and demand in this industry;High initial investment costs;"/>
    <s v="Rapid expansion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d v="2024-04-28T00:00:00"/>
    <s v="Male"/>
    <s v="No"/>
    <s v="No"/>
    <s v="No"/>
    <s v="No"/>
    <x v="0"/>
    <s v="Yes"/>
    <s v="Technical skills such as Engineering"/>
    <s v="Green technology researcher;Sustainable engineer;Environmental compliance offier;"/>
    <s v="No"/>
    <s v="Yes"/>
    <s v="Extremely important"/>
    <s v="High initial investment costs;Lack of government support;Limited public awarenss and demand in this industry;"/>
    <s v="Remaining level"/>
  </r>
  <r>
    <n v="2"/>
    <d v="2024-04-28T15:29:31"/>
    <s v="Female"/>
    <s v="Yes"/>
    <s v="Yes"/>
    <s v="No"/>
    <s v="Yes"/>
    <x v="0"/>
    <s v="Yes"/>
    <s v="Technical skills such as Engineering"/>
    <s v="Pilot;Sustainable engineer;Green technology researcher;Environmental compliance offier;"/>
    <s v="Yes"/>
    <s v="No"/>
    <s v="Extremely important"/>
    <s v="High initial investment costs;"/>
    <s v="Remaining level"/>
  </r>
  <r>
    <n v="3"/>
    <d v="2024-04-28T16:54:05"/>
    <s v="Male"/>
    <s v="Yes"/>
    <s v="No"/>
    <s v="No"/>
    <s v="No"/>
    <x v="1"/>
    <s v="Yes"/>
    <s v="Technical skills such as Engineering"/>
    <s v="Green technology researcher;Sustainable engineer;Environmental compliance offier;"/>
    <s v="No"/>
    <s v="Yes"/>
    <s v="Extremely important"/>
    <s v="Lack of government support;High initial investment costs;Limited public awarenss and demand in this industry;"/>
    <s v="Steadily growing"/>
  </r>
  <r>
    <n v="4"/>
    <d v="2024-04-29T14:57:11"/>
    <s v="Female"/>
    <s v="Yes"/>
    <s v="Yes"/>
    <s v="Yes"/>
    <s v="No"/>
    <x v="0"/>
    <s v="Yes"/>
    <s v="Problem-solving skills"/>
    <s v="Green technology researcher;Pilot;"/>
    <s v="Yes"/>
    <s v="No"/>
    <s v="Extremely important"/>
    <s v="Lack of government support;"/>
    <s v="Steadily growing"/>
  </r>
  <r>
    <n v="5"/>
    <d v="2024-04-30T07:59:42"/>
    <s v="Male"/>
    <s v="Yes"/>
    <s v="Yes"/>
    <s v="No"/>
    <s v="No"/>
    <x v="1"/>
    <s v="Yes"/>
    <s v="Technical skills such as Engineering"/>
    <s v="Sustainable engineer;Green technology researcher;Environmental compliance offier;"/>
    <s v="No"/>
    <s v="No"/>
    <s v="Extremely important"/>
    <s v="Lack of government support;High initial investment costs;Limited public awarenss and demand in this industry;"/>
    <s v="Remaining level"/>
  </r>
  <r>
    <n v="6"/>
    <d v="2024-04-30T08:08:07"/>
    <s v="Male"/>
    <s v="Yes"/>
    <s v="Yes"/>
    <s v="No"/>
    <s v="Yes"/>
    <x v="0"/>
    <m/>
    <s v="Technical skills such as Engineering;Communication;"/>
    <s v="Pilot;"/>
    <s v="Yes"/>
    <s v="Yes"/>
    <s v="Extremely important"/>
    <s v="Lack of government support;"/>
    <s v="Rapid expansion"/>
  </r>
  <r>
    <n v="7"/>
    <d v="2024-05-01T14:20:43"/>
    <s v="Male"/>
    <s v="No"/>
    <s v="Yes"/>
    <s v="No"/>
    <s v="Yes"/>
    <x v="0"/>
    <s v="Yes"/>
    <s v="Technical skills such as Engineering;Problem-solving skills;Communication;"/>
    <s v="Pilot;Sustainable engineer;Green technology researcher;Environmental compliance offier;"/>
    <s v="Yes"/>
    <s v="Yes"/>
    <s v="Extremely important"/>
    <s v="Lack of government support;High initial investment costs;"/>
    <s v="Rapid expansion"/>
  </r>
  <r>
    <n v="8"/>
    <d v="2024-05-01T14:21:23"/>
    <s v="Female"/>
    <s v="Yes"/>
    <s v="No"/>
    <s v="Yes"/>
    <s v="Yes"/>
    <x v="0"/>
    <s v="Yes"/>
    <s v="Technical skills such as Engineering;Communication;Problem-solving skills;"/>
    <s v="Pilot;Green technology researcher;Sustainable engineer;"/>
    <s v="Yes"/>
    <s v="Yes"/>
    <s v="Neutral"/>
    <s v="Lack of government support;Limited public awarenss and demand in this industry;"/>
    <s v="Steadily growing"/>
  </r>
  <r>
    <n v="9"/>
    <d v="2024-05-01T14:21:56"/>
    <s v="Female"/>
    <s v="Yes"/>
    <s v="No"/>
    <s v="Yes"/>
    <s v="No"/>
    <x v="0"/>
    <s v="Yes"/>
    <s v="Problem-solving skills;Technical skills such as Engineering;"/>
    <s v="Sustainable engineer;Green technology researcher;"/>
    <s v="Yes"/>
    <s v="No"/>
    <s v="Extremely important"/>
    <s v="High initial investment costs;Limited public awarenss and demand in this industry;"/>
    <s v="Remaining level"/>
  </r>
  <r>
    <n v="10"/>
    <d v="2024-05-01T14:22:24"/>
    <s v="Male"/>
    <s v="Yes"/>
    <s v="No"/>
    <s v="Yes"/>
    <s v="No"/>
    <x v="0"/>
    <s v="Yes"/>
    <s v="Technical skills such as Engineering;Problem-solving skills;"/>
    <s v="Pilot;Environmental compliance offier;"/>
    <s v="No"/>
    <s v="Yes"/>
    <s v="Neutral"/>
    <s v="Lack of government support;Limited public awarenss and demand in this industry;"/>
    <s v="Rapid expansion"/>
  </r>
  <r>
    <n v="11"/>
    <d v="2024-05-01T14:22:55"/>
    <s v="Female"/>
    <s v="Yes"/>
    <s v="Yes"/>
    <s v="Yes"/>
    <s v="Yes"/>
    <x v="0"/>
    <s v="Yes"/>
    <s v="Leadership skills;Communication;"/>
    <s v="Sustainable engineer;Environmental compliance offier;"/>
    <s v="Yes"/>
    <s v="No"/>
    <s v="Neutral"/>
    <s v="Lack of government support;Limited public awarenss and demand in this industry;"/>
    <s v="Remaining level"/>
  </r>
  <r>
    <n v="12"/>
    <d v="2024-05-01T14:23:57"/>
    <s v="Male"/>
    <s v="No"/>
    <s v="Yes"/>
    <s v="No"/>
    <s v="Yes"/>
    <x v="0"/>
    <s v="No"/>
    <s v="Technical skills such as Engineering;Problem-solving skills;"/>
    <s v="Pilot;Green technology researcher;"/>
    <s v="Yes"/>
    <s v="No"/>
    <s v="Neutral"/>
    <s v="High initial investment costs;"/>
    <s v="Declinig"/>
  </r>
  <r>
    <n v="13"/>
    <d v="2024-05-01T14:24:23"/>
    <s v="Female"/>
    <s v="Yes"/>
    <s v="Yes"/>
    <s v="No"/>
    <s v="Yes"/>
    <x v="0"/>
    <s v="No"/>
    <s v="Technical skills such as Engineering;Communication;Problem-solving skills;"/>
    <s v="Pilot;Environmental compliance offier;Green technology researcher;"/>
    <s v="Yes"/>
    <s v="No"/>
    <s v="Extremely important"/>
    <s v="Lack of government support;Limited public awarenss and demand in this industry;"/>
    <s v="Rapid expansion"/>
  </r>
  <r>
    <n v="14"/>
    <d v="2024-05-01T14:24:52"/>
    <s v="Male"/>
    <s v="No"/>
    <s v="Yes"/>
    <s v="No"/>
    <s v="Yes"/>
    <x v="0"/>
    <s v="No"/>
    <s v="Technical skills such as Engineering;Communication;Leadership skills;Problem-solving skills;"/>
    <s v="Pilot;Sustainable engineer;Green technology researcher;Environmental compliance offier;"/>
    <s v="Yes"/>
    <s v="Yes"/>
    <s v="Neutral"/>
    <s v="Lack of government support;High initial investment costs;Limited public awarenss and demand in this industry;"/>
    <s v="Steadily growing"/>
  </r>
  <r>
    <n v="15"/>
    <d v="2024-05-01T14:25:23"/>
    <s v="Male"/>
    <s v="No"/>
    <s v="No"/>
    <s v="No"/>
    <s v="No"/>
    <x v="0"/>
    <s v="Yes"/>
    <s v="Technical skills such as Engineering;Leadership skills;"/>
    <s v="Pilot;"/>
    <s v="No"/>
    <s v="Yes"/>
    <s v="Neutral"/>
    <s v="Lack of government support;"/>
    <s v="Steadily growing"/>
  </r>
  <r>
    <n v="16"/>
    <d v="2024-05-01T15:41:33"/>
    <s v="Male"/>
    <s v="No"/>
    <s v="No"/>
    <s v="Yes"/>
    <s v="No"/>
    <x v="0"/>
    <s v="No"/>
    <s v="Technical skills such as Engineering;Communication;Problem-solving skills;"/>
    <s v="Green technology researcher;Sustainable engineer;"/>
    <s v="Yes"/>
    <s v="No"/>
    <s v="Extremely not important"/>
    <s v="Lack of government support;"/>
    <s v="Remaining level"/>
  </r>
  <r>
    <n v="17"/>
    <d v="2024-05-01T15:42:22"/>
    <s v="Female"/>
    <s v="Yes"/>
    <s v="Yes"/>
    <s v="Yes"/>
    <s v="Yes"/>
    <x v="0"/>
    <s v="Yes"/>
    <s v="Technical skills such as Engineering;Problem-solving skills;"/>
    <s v="Pilot;Environmental compliance offier;"/>
    <s v="Yes"/>
    <s v="Yes"/>
    <s v="Neutral"/>
    <s v="Lack of government support;"/>
    <s v="Remaining level"/>
  </r>
  <r>
    <n v="18"/>
    <d v="2024-05-01T15:42:53"/>
    <s v="Male"/>
    <s v="Yes"/>
    <s v="No"/>
    <s v="Yes"/>
    <s v="No"/>
    <x v="0"/>
    <s v="Yes"/>
    <s v="Communication;Technical skills such as Engineering;"/>
    <s v="Pilot;Environmental compliance offier;"/>
    <s v="No"/>
    <s v="Yes"/>
    <s v="Extremely important"/>
    <s v="Lack of government support;Limited public awarenss and demand in this industry;"/>
    <s v="Steadily growing"/>
  </r>
  <r>
    <n v="19"/>
    <d v="2024-05-01T15:43:27"/>
    <s v="Male"/>
    <s v="Yes"/>
    <s v="No"/>
    <s v="Yes"/>
    <s v="No"/>
    <x v="0"/>
    <s v="No"/>
    <s v="Technical skills such as Engineering;Communication;Leadership skills;"/>
    <s v="Sustainable engineer;Green technology researcher;"/>
    <s v="No"/>
    <s v="No"/>
    <s v="Neutral"/>
    <s v="High initial investment costs;"/>
    <s v="Steadily growing"/>
  </r>
  <r>
    <n v="20"/>
    <d v="2024-05-01T15:43:53"/>
    <s v="Female"/>
    <s v="Yes"/>
    <s v="No"/>
    <s v="Yes"/>
    <s v="No"/>
    <x v="0"/>
    <s v="No"/>
    <s v="Technical skills such as Engineering;Leadership skills;Problem-solving skills;"/>
    <s v="Pilot;Environmental compliance offier;"/>
    <s v="Yes"/>
    <s v="Yes"/>
    <s v="Extremely important"/>
    <s v="High initial investment costs;Lack of government support;"/>
    <s v="Steadily growing"/>
  </r>
  <r>
    <n v="21"/>
    <d v="2024-05-01T15:44:18"/>
    <s v="Male"/>
    <s v="Yes"/>
    <s v="Yes"/>
    <s v="Yes"/>
    <s v="Yes"/>
    <x v="1"/>
    <s v="Yes"/>
    <s v="Communication;Technical skills such as Engineering;"/>
    <s v="Sustainable engineer;Pilot;"/>
    <s v="No"/>
    <s v="No"/>
    <s v="Extremely important"/>
    <s v="High initial investment costs;Lack of government support;"/>
    <s v="Steadily growing"/>
  </r>
  <r>
    <n v="22"/>
    <d v="2024-05-01T15:45:01"/>
    <s v="Male"/>
    <s v="No"/>
    <s v="Yes"/>
    <s v="No"/>
    <s v="Yes"/>
    <x v="0"/>
    <s v="Yes"/>
    <s v="Technical skills such as Engineering;Communication;"/>
    <s v="Pilot;Sustainable engineer;"/>
    <s v="No"/>
    <s v="Yes"/>
    <s v="Neutral"/>
    <s v="Lack of government support;"/>
    <s v="Rapid expansion"/>
  </r>
  <r>
    <n v="23"/>
    <d v="2024-05-01T15:45:24"/>
    <s v="Female"/>
    <s v="Yes"/>
    <s v="No"/>
    <s v="Yes"/>
    <s v="No"/>
    <x v="0"/>
    <s v="Yes"/>
    <s v="Technical skills such as Engineering;Communication;"/>
    <s v="Green technology researcher;Environmental compliance offier;"/>
    <s v="Yes"/>
    <s v="No"/>
    <s v="Neutral"/>
    <s v="Lack of government support;Limited public awarenss and demand in this industry;"/>
    <s v="Rapid expansion"/>
  </r>
  <r>
    <n v="24"/>
    <d v="2024-05-01T15:45:47"/>
    <s v="Male"/>
    <s v="Yes"/>
    <s v="No"/>
    <s v="Yes"/>
    <s v="Yes"/>
    <x v="0"/>
    <s v="No"/>
    <s v="Technical skills such as Engineering;Problem-solving skills;"/>
    <s v="Pilot;"/>
    <s v="No"/>
    <s v="Yes"/>
    <s v="Extremely important"/>
    <s v="Limited public awarenss and demand in this industry;Lack of government support;"/>
    <s v="Rapid expansion"/>
  </r>
  <r>
    <n v="25"/>
    <d v="2024-05-01T15:46:08"/>
    <s v="Female"/>
    <s v="No"/>
    <s v="Yes"/>
    <s v="No"/>
    <s v="Yes"/>
    <x v="1"/>
    <s v="No"/>
    <s v="Technical skills such as Engineering;Problem-solving skills;"/>
    <s v="Pilot;Environmental compliance offier;"/>
    <s v="Yes"/>
    <s v="No"/>
    <s v="Extremely important"/>
    <s v="Limited public awarenss and demand in this industry;"/>
    <s v="Rapid expansion"/>
  </r>
  <r>
    <n v="26"/>
    <d v="2024-05-01T15:46:29"/>
    <s v="Male"/>
    <s v="Yes"/>
    <s v="Yes"/>
    <s v="Yes"/>
    <s v="Yes"/>
    <x v="0"/>
    <s v="No"/>
    <s v="Technical skills such as Engineering;Leadership skills;"/>
    <s v="Sustainable engineer;Environmental compliance offier;"/>
    <s v="Yes"/>
    <s v="Yes"/>
    <s v="Extremely important"/>
    <s v="High initial investment costs;Lack of government support;"/>
    <s v="Steadily growing"/>
  </r>
  <r>
    <n v="27"/>
    <d v="2024-05-01T16:07:43"/>
    <s v="Female"/>
    <s v="Yes"/>
    <s v="No"/>
    <s v="Yes"/>
    <s v="Yes"/>
    <x v="0"/>
    <s v="Yes"/>
    <s v="Technical skills such as Engineering;Problem-solving skills;"/>
    <s v="Pilot;Environmental compliance offier;"/>
    <s v="Yes"/>
    <s v="Yes"/>
    <m/>
    <s v="Lack of government support;"/>
    <s v="Remaining level"/>
  </r>
  <r>
    <n v="28"/>
    <d v="2024-05-01T16:08:00"/>
    <s v="Male"/>
    <s v="Yes"/>
    <s v="No"/>
    <s v="Yes"/>
    <s v="No"/>
    <x v="1"/>
    <s v="Yes"/>
    <s v="Communication;Leadership skills;"/>
    <s v="Sustainable engineer;Pilot;"/>
    <s v="No"/>
    <s v="Yes"/>
    <s v="Extremely important"/>
    <s v="Lack of government support;Limited public awarenss and demand in this industry;"/>
    <s v="Rapid expansion"/>
  </r>
  <r>
    <n v="29"/>
    <d v="2024-05-01T16:08:24"/>
    <s v="Male"/>
    <s v="Yes"/>
    <s v="Yes"/>
    <s v="No"/>
    <s v="Yes"/>
    <x v="0"/>
    <s v="Yes"/>
    <s v="Technical skills such as Engineering;Problem-solving skills;"/>
    <s v="Pilot;Green technology researcher;"/>
    <s v="Yes"/>
    <s v="Yes"/>
    <s v="Neutral"/>
    <s v="Lack of government support;High initial investment costs;"/>
    <s v="Rapid expansion"/>
  </r>
  <r>
    <n v="30"/>
    <d v="2024-05-01T16:08:42"/>
    <s v="Female"/>
    <s v="Yes"/>
    <s v="Yes"/>
    <s v="Yes"/>
    <s v="Yes"/>
    <x v="0"/>
    <s v="Yes"/>
    <s v="Technical skills such as Engineering;Communication;Leadership skills;"/>
    <s v="Pilot;Green technology researcher;"/>
    <s v="Yes"/>
    <s v="Yes"/>
    <s v="Extremely important"/>
    <s v="Lack of government support;Limited public awarenss and demand in this industry;High initial investment costs;"/>
    <s v="Rapid expans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6FC5A-55C3-49C1-BB5C-AA9C9088CFDC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W37:X40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30" fld="1" baseField="0" baseItem="0"/>
  </dataFields>
  <formats count="6"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0" type="button" dataOnly="0" labelOnly="1" outline="0" axis="axisRow" fieldPosition="0"/>
    </format>
    <format dxfId="34">
      <pivotArea dataOnly="0" labelOnly="1" fieldPosition="0">
        <references count="1">
          <reference field="0" count="0"/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0ABFD3-04B7-4553-BB94-882767556057}" name="PivotTable4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J49:K51" firstHeaderRow="1" firstDataRow="1" firstDataCol="1"/>
  <pivotFields count="16"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 Employment is at risk "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Items count="1">
    <i/>
  </colItems>
  <dataFields count="1">
    <dataField name="Count " fld="7" subtotal="count" baseField="0" baseItem="0"/>
  </dataFields>
  <formats count="5"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7" type="button" dataOnly="0" labelOnly="1" outline="0" axis="axisRow" fieldPosition="0"/>
    </format>
    <format dxfId="39">
      <pivotArea dataOnly="0" labelOnly="1" outline="0" fieldPosition="0">
        <references count="1">
          <reference field="7" count="0"/>
        </references>
      </pivotArea>
    </format>
    <format dxfId="38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51D87-B781-4E42-818D-F1048B553E60}" name="PivotTable28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J28:K30" firstHeaderRow="1" firstDataRow="1" firstDataCol="1"/>
  <pivotFields count="16"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 Concerns "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2">
    <i>
      <x/>
    </i>
    <i>
      <x v="1"/>
    </i>
  </rowItems>
  <colItems count="1">
    <i/>
  </colItems>
  <dataFields count="1">
    <dataField name="Count " fld="5" subtotal="count" baseField="0" baseItem="0"/>
  </dataFields>
  <formats count="7">
    <format dxfId="49">
      <pivotArea type="all" dataOnly="0" outline="0" fieldPosition="0"/>
    </format>
    <format dxfId="48">
      <pivotArea field="5" type="button" dataOnly="0" labelOnly="1" outline="0" axis="axisRow" fieldPosition="0"/>
    </format>
    <format dxfId="47">
      <pivotArea dataOnly="0" labelOnly="1" outline="0" fieldPosition="0">
        <references count="1">
          <reference field="5" count="0"/>
        </references>
      </pivotArea>
    </format>
    <format dxfId="46">
      <pivotArea field="5" type="button" dataOnly="0" labelOnly="1" outline="0" axis="axisRow" fieldPosition="0"/>
    </format>
    <format dxfId="45">
      <pivotArea dataOnly="0" labelOnly="1" outline="0" fieldPosition="0">
        <references count="1">
          <reference field="5" count="0"/>
        </references>
      </pivotArea>
    </format>
    <format dxfId="44">
      <pivotArea outline="0" collapsedLevelsAreSubtotals="1" fieldPosition="0"/>
    </format>
    <format dxfId="43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32" totalsRowCount="1" headerRowDxfId="67" headerRowBorderDxfId="66">
  <autoFilter ref="A1:Q31" xr:uid="{00000000-0009-0000-0100-000001000000}"/>
  <tableColumns count="17">
    <tableColumn id="1" xr3:uid="{00000000-0010-0000-0000-000001000000}" name="ID" totalsRowFunction="count" dataDxfId="65" totalsRowDxfId="20"/>
    <tableColumn id="2" xr3:uid="{00000000-0010-0000-0000-000002000000}" name="Date completed" totalsRowFunction="average" dataDxfId="64" totalsRowDxfId="19"/>
    <tableColumn id="3" xr3:uid="{B7302598-92E7-411F-BAFA-103C911B7668}" name="Names" dataDxfId="31" totalsRowDxfId="18"/>
    <tableColumn id="7" xr3:uid="{00000000-0010-0000-0000-000007000000}" name="Gender" totalsRowFunction="count" dataDxfId="63" totalsRowDxfId="17"/>
    <tableColumn id="8" xr3:uid="{00000000-0010-0000-0000-000008000000}" name="Aware with the concept of &quot;Green Jobs&quot;" totalsRowFunction="count" dataDxfId="62" totalsRowDxfId="16"/>
    <tableColumn id="9" xr3:uid="{00000000-0010-0000-0000-000009000000}" name="Aware of any green jobs in the aviation industry" totalsRowFunction="count" dataDxfId="61" totalsRowDxfId="15"/>
    <tableColumn id="10" xr3:uid="{00000000-0010-0000-0000-00000A000000}" name=" Concerns regarding green jobs in the aviation industry" dataDxfId="60" totalsRowDxfId="14"/>
    <tableColumn id="11" xr3:uid="{00000000-0010-0000-0000-00000B000000}" name="Aware of the increasing green job availibility in the aviation industry" dataDxfId="59" totalsRowDxfId="13"/>
    <tableColumn id="12" xr3:uid="{00000000-0010-0000-0000-00000C000000}" name=" Employment is at risk with the introduction of greener jobs in this sector" dataDxfId="58" totalsRowDxfId="12"/>
    <tableColumn id="13" xr3:uid="{00000000-0010-0000-0000-00000D000000}" name="Need for specialized education and training programs focusing on green jobs in aviation in South Africa?_x000a_" dataDxfId="57" totalsRowDxfId="11"/>
    <tableColumn id="14" xr3:uid="{00000000-0010-0000-0000-00000E000000}" name=" Skills or qualifications essential for individuals pursuing green jobs in the aviation industry" totalsRowFunction="custom" dataDxfId="56" totalsRowDxfId="10">
      <totalsRowFormula>MODE(Table1[[ Skills or qualifications essential for individuals pursuing green jobs in the aviation industry]])</totalsRowFormula>
    </tableColumn>
    <tableColumn id="15" xr3:uid="{00000000-0010-0000-0000-00000F000000}" name=" Specific green job roles do you think are in high demand or will be in the future within the South African aviation industry " dataDxfId="55" totalsRowDxfId="9"/>
    <tableColumn id="16" xr3:uid="{00000000-0010-0000-0000-000010000000}" name=" Strong technological advancements regarding greener sustainability in this sector (Specifically in South Africa)." dataDxfId="54" totalsRowDxfId="8"/>
    <tableColumn id="17" xr3:uid="{00000000-0010-0000-0000-000011000000}" name="Consider a job opportunity in this sector?" dataDxfId="53" totalsRowDxfId="7"/>
    <tableColumn id="18" xr3:uid="{00000000-0010-0000-0000-000012000000}" name=" Importantance collaboration between government, stakeholders and educational institutions is in promoting awareness of green jobs in South Africa" dataDxfId="52" totalsRowDxfId="6"/>
    <tableColumn id="19" xr3:uid="{00000000-0010-0000-0000-000013000000}" name=" Barriers or challenges to the implementation of green initiatives and the creation of green job opportunities in the aviation industry" dataDxfId="51" totalsRowDxfId="5"/>
    <tableColumn id="20" xr3:uid="{00000000-0010-0000-0000-000014000000}" name=" The future of green job opportunities in the aviation industry evolving in South Africa over the next decade" dataDxfId="50" totalsRow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Q34"/>
  <sheetViews>
    <sheetView zoomScale="102" workbookViewId="0">
      <pane ySplit="1" topLeftCell="A2" activePane="bottomLeft" state="frozen"/>
      <selection activeCell="P1" sqref="P1"/>
      <selection pane="bottomLeft" activeCell="C1" sqref="C1:C1048576"/>
    </sheetView>
  </sheetViews>
  <sheetFormatPr defaultRowHeight="15" x14ac:dyDescent="0.25"/>
  <cols>
    <col min="1" max="1" width="5.42578125" customWidth="1"/>
    <col min="2" max="2" width="19.85546875" bestFit="1" customWidth="1"/>
    <col min="3" max="3" width="11.7109375" hidden="1" customWidth="1"/>
    <col min="4" max="4" width="11.42578125" customWidth="1"/>
    <col min="5" max="5" width="39" customWidth="1"/>
    <col min="6" max="6" width="46.28515625" customWidth="1"/>
    <col min="7" max="7" width="70.5703125" customWidth="1"/>
    <col min="8" max="8" width="76" customWidth="1"/>
    <col min="9" max="9" width="88.5703125" customWidth="1"/>
    <col min="10" max="10" width="121.7109375" customWidth="1"/>
    <col min="11" max="11" width="131.28515625" customWidth="1"/>
    <col min="12" max="12" width="143" customWidth="1"/>
    <col min="13" max="13" width="130.42578125" customWidth="1"/>
    <col min="14" max="14" width="53" customWidth="1"/>
    <col min="15" max="15" width="154.42578125" customWidth="1"/>
    <col min="16" max="16" width="147.140625" customWidth="1"/>
    <col min="17" max="17" width="123.140625" customWidth="1"/>
  </cols>
  <sheetData>
    <row r="1" spans="1:17" ht="35.25" customHeight="1" x14ac:dyDescent="0.25">
      <c r="A1" s="2" t="s">
        <v>0</v>
      </c>
      <c r="B1" s="2" t="s">
        <v>55</v>
      </c>
      <c r="C1" s="2" t="s">
        <v>108</v>
      </c>
      <c r="D1" s="2" t="s">
        <v>1</v>
      </c>
      <c r="E1" s="2" t="s">
        <v>53</v>
      </c>
      <c r="F1" s="2" t="s">
        <v>54</v>
      </c>
      <c r="G1" s="2" t="s">
        <v>56</v>
      </c>
      <c r="H1" s="2" t="s">
        <v>57</v>
      </c>
      <c r="I1" s="2" t="s">
        <v>58</v>
      </c>
      <c r="J1" s="3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</row>
    <row r="2" spans="1:17" x14ac:dyDescent="0.25">
      <c r="A2" s="7">
        <v>1</v>
      </c>
      <c r="B2" s="4">
        <v>45410</v>
      </c>
      <c r="C2" s="4" t="s">
        <v>109</v>
      </c>
      <c r="D2" s="1" t="s">
        <v>2</v>
      </c>
      <c r="E2" t="s">
        <v>3</v>
      </c>
      <c r="F2" t="s">
        <v>3</v>
      </c>
      <c r="G2" t="s">
        <v>3</v>
      </c>
      <c r="H2" t="s">
        <v>3</v>
      </c>
      <c r="I2" t="s">
        <v>4</v>
      </c>
      <c r="J2" t="s">
        <v>4</v>
      </c>
      <c r="K2" t="s">
        <v>5</v>
      </c>
      <c r="L2" t="s">
        <v>6</v>
      </c>
      <c r="M2" t="s">
        <v>3</v>
      </c>
      <c r="N2" t="s">
        <v>4</v>
      </c>
      <c r="O2" t="s">
        <v>7</v>
      </c>
      <c r="P2" t="s">
        <v>8</v>
      </c>
      <c r="Q2" t="s">
        <v>9</v>
      </c>
    </row>
    <row r="3" spans="1:17" x14ac:dyDescent="0.25">
      <c r="A3" s="7">
        <v>2</v>
      </c>
      <c r="B3" s="4">
        <v>45410.645497685196</v>
      </c>
      <c r="C3" s="4" t="s">
        <v>110</v>
      </c>
      <c r="D3" s="1" t="s">
        <v>10</v>
      </c>
      <c r="E3" t="s">
        <v>4</v>
      </c>
      <c r="F3" t="s">
        <v>4</v>
      </c>
      <c r="G3" t="s">
        <v>3</v>
      </c>
      <c r="H3" t="s">
        <v>4</v>
      </c>
      <c r="I3" t="s">
        <v>4</v>
      </c>
      <c r="J3" t="s">
        <v>4</v>
      </c>
      <c r="K3" t="s">
        <v>5</v>
      </c>
      <c r="L3" t="s">
        <v>11</v>
      </c>
      <c r="M3" t="s">
        <v>4</v>
      </c>
      <c r="N3" t="s">
        <v>3</v>
      </c>
      <c r="O3" t="s">
        <v>7</v>
      </c>
      <c r="P3" t="s">
        <v>12</v>
      </c>
      <c r="Q3" t="s">
        <v>9</v>
      </c>
    </row>
    <row r="4" spans="1:17" x14ac:dyDescent="0.25">
      <c r="A4" s="7">
        <v>3</v>
      </c>
      <c r="B4" s="4">
        <v>45410.704224537003</v>
      </c>
      <c r="C4" s="4" t="s">
        <v>111</v>
      </c>
      <c r="D4" s="1" t="s">
        <v>2</v>
      </c>
      <c r="E4" t="s">
        <v>4</v>
      </c>
      <c r="F4" t="s">
        <v>3</v>
      </c>
      <c r="G4" t="s">
        <v>3</v>
      </c>
      <c r="H4" t="s">
        <v>3</v>
      </c>
      <c r="I4" t="s">
        <v>3</v>
      </c>
      <c r="J4" t="s">
        <v>4</v>
      </c>
      <c r="K4" t="s">
        <v>5</v>
      </c>
      <c r="L4" t="s">
        <v>6</v>
      </c>
      <c r="M4" t="s">
        <v>3</v>
      </c>
      <c r="N4" t="s">
        <v>4</v>
      </c>
      <c r="O4" t="s">
        <v>7</v>
      </c>
      <c r="P4" t="s">
        <v>13</v>
      </c>
      <c r="Q4" t="s">
        <v>14</v>
      </c>
    </row>
    <row r="5" spans="1:17" x14ac:dyDescent="0.25">
      <c r="A5" s="7">
        <v>4</v>
      </c>
      <c r="B5" s="4">
        <v>45411.623043981497</v>
      </c>
      <c r="C5" s="4" t="s">
        <v>112</v>
      </c>
      <c r="D5" s="1" t="s">
        <v>10</v>
      </c>
      <c r="E5" t="s">
        <v>4</v>
      </c>
      <c r="F5" t="s">
        <v>4</v>
      </c>
      <c r="G5" t="s">
        <v>4</v>
      </c>
      <c r="H5" t="s">
        <v>3</v>
      </c>
      <c r="I5" t="s">
        <v>4</v>
      </c>
      <c r="J5" t="s">
        <v>4</v>
      </c>
      <c r="K5" t="s">
        <v>15</v>
      </c>
      <c r="L5" t="s">
        <v>16</v>
      </c>
      <c r="M5" t="s">
        <v>4</v>
      </c>
      <c r="N5" t="s">
        <v>3</v>
      </c>
      <c r="O5" t="s">
        <v>7</v>
      </c>
      <c r="P5" t="s">
        <v>17</v>
      </c>
      <c r="Q5" t="s">
        <v>14</v>
      </c>
    </row>
    <row r="6" spans="1:17" x14ac:dyDescent="0.25">
      <c r="A6" s="7">
        <v>5</v>
      </c>
      <c r="B6" s="4">
        <v>45412.333124999997</v>
      </c>
      <c r="C6" s="4" t="s">
        <v>113</v>
      </c>
      <c r="D6" s="1" t="s">
        <v>2</v>
      </c>
      <c r="E6" t="s">
        <v>4</v>
      </c>
      <c r="F6" t="s">
        <v>4</v>
      </c>
      <c r="G6" t="s">
        <v>3</v>
      </c>
      <c r="H6" t="s">
        <v>3</v>
      </c>
      <c r="I6" t="s">
        <v>3</v>
      </c>
      <c r="J6" t="s">
        <v>4</v>
      </c>
      <c r="K6" t="s">
        <v>5</v>
      </c>
      <c r="L6" t="s">
        <v>18</v>
      </c>
      <c r="M6" t="s">
        <v>3</v>
      </c>
      <c r="N6" t="s">
        <v>3</v>
      </c>
      <c r="O6" t="s">
        <v>7</v>
      </c>
      <c r="P6" t="s">
        <v>13</v>
      </c>
      <c r="Q6" t="s">
        <v>9</v>
      </c>
    </row>
    <row r="7" spans="1:17" x14ac:dyDescent="0.25">
      <c r="A7" s="7">
        <v>6</v>
      </c>
      <c r="B7" s="4">
        <v>45412.338969907403</v>
      </c>
      <c r="C7" s="4" t="s">
        <v>114</v>
      </c>
      <c r="D7" s="1" t="s">
        <v>2</v>
      </c>
      <c r="E7" t="s">
        <v>4</v>
      </c>
      <c r="F7" t="s">
        <v>4</v>
      </c>
      <c r="G7" t="s">
        <v>3</v>
      </c>
      <c r="H7" t="s">
        <v>4</v>
      </c>
      <c r="I7" t="s">
        <v>4</v>
      </c>
      <c r="J7" t="s">
        <v>3</v>
      </c>
      <c r="K7" t="s">
        <v>19</v>
      </c>
      <c r="L7" t="s">
        <v>20</v>
      </c>
      <c r="M7" t="s">
        <v>4</v>
      </c>
      <c r="N7" t="s">
        <v>4</v>
      </c>
      <c r="O7" t="s">
        <v>7</v>
      </c>
      <c r="P7" t="s">
        <v>17</v>
      </c>
      <c r="Q7" t="s">
        <v>21</v>
      </c>
    </row>
    <row r="8" spans="1:17" x14ac:dyDescent="0.25">
      <c r="A8" s="7">
        <v>7</v>
      </c>
      <c r="B8" s="4">
        <v>45413.597719907397</v>
      </c>
      <c r="C8" s="4" t="s">
        <v>115</v>
      </c>
      <c r="D8" s="1" t="s">
        <v>2</v>
      </c>
      <c r="E8" t="s">
        <v>3</v>
      </c>
      <c r="F8" t="s">
        <v>4</v>
      </c>
      <c r="G8" t="s">
        <v>3</v>
      </c>
      <c r="H8" t="s">
        <v>4</v>
      </c>
      <c r="I8" t="s">
        <v>4</v>
      </c>
      <c r="J8" t="s">
        <v>4</v>
      </c>
      <c r="K8" t="s">
        <v>22</v>
      </c>
      <c r="L8" t="s">
        <v>11</v>
      </c>
      <c r="M8" t="s">
        <v>4</v>
      </c>
      <c r="N8" t="s">
        <v>4</v>
      </c>
      <c r="O8" t="s">
        <v>7</v>
      </c>
      <c r="P8" t="s">
        <v>23</v>
      </c>
      <c r="Q8" t="s">
        <v>21</v>
      </c>
    </row>
    <row r="9" spans="1:17" x14ac:dyDescent="0.25">
      <c r="A9" s="7">
        <v>8</v>
      </c>
      <c r="B9" s="4">
        <v>45413.598182870403</v>
      </c>
      <c r="C9" s="4" t="s">
        <v>116</v>
      </c>
      <c r="D9" s="1" t="s">
        <v>10</v>
      </c>
      <c r="E9" t="s">
        <v>4</v>
      </c>
      <c r="F9" t="s">
        <v>3</v>
      </c>
      <c r="G9" t="s">
        <v>4</v>
      </c>
      <c r="H9" t="s">
        <v>4</v>
      </c>
      <c r="I9" t="s">
        <v>4</v>
      </c>
      <c r="J9" t="s">
        <v>4</v>
      </c>
      <c r="K9" t="s">
        <v>24</v>
      </c>
      <c r="L9" t="s">
        <v>25</v>
      </c>
      <c r="M9" t="s">
        <v>4</v>
      </c>
      <c r="N9" t="s">
        <v>4</v>
      </c>
      <c r="O9" t="s">
        <v>26</v>
      </c>
      <c r="P9" t="s">
        <v>27</v>
      </c>
      <c r="Q9" t="s">
        <v>14</v>
      </c>
    </row>
    <row r="10" spans="1:17" x14ac:dyDescent="0.25">
      <c r="A10" s="7">
        <v>9</v>
      </c>
      <c r="B10" s="4">
        <v>45413.598564814798</v>
      </c>
      <c r="C10" s="4" t="s">
        <v>117</v>
      </c>
      <c r="D10" s="1" t="s">
        <v>10</v>
      </c>
      <c r="E10" t="s">
        <v>4</v>
      </c>
      <c r="F10" t="s">
        <v>3</v>
      </c>
      <c r="G10" t="s">
        <v>4</v>
      </c>
      <c r="H10" t="s">
        <v>3</v>
      </c>
      <c r="I10" t="s">
        <v>4</v>
      </c>
      <c r="J10" t="s">
        <v>4</v>
      </c>
      <c r="K10" t="s">
        <v>28</v>
      </c>
      <c r="L10" t="s">
        <v>29</v>
      </c>
      <c r="M10" t="s">
        <v>4</v>
      </c>
      <c r="N10" t="s">
        <v>3</v>
      </c>
      <c r="O10" t="s">
        <v>7</v>
      </c>
      <c r="P10" t="s">
        <v>30</v>
      </c>
      <c r="Q10" t="s">
        <v>9</v>
      </c>
    </row>
    <row r="11" spans="1:17" x14ac:dyDescent="0.25">
      <c r="A11" s="7">
        <v>10</v>
      </c>
      <c r="B11" s="4">
        <v>45413.598888888897</v>
      </c>
      <c r="C11" s="4" t="s">
        <v>118</v>
      </c>
      <c r="D11" s="1" t="s">
        <v>2</v>
      </c>
      <c r="E11" t="s">
        <v>4</v>
      </c>
      <c r="F11" t="s">
        <v>3</v>
      </c>
      <c r="G11" t="s">
        <v>4</v>
      </c>
      <c r="H11" t="s">
        <v>3</v>
      </c>
      <c r="I11" t="s">
        <v>4</v>
      </c>
      <c r="J11" t="s">
        <v>4</v>
      </c>
      <c r="K11" t="s">
        <v>31</v>
      </c>
      <c r="L11" t="s">
        <v>32</v>
      </c>
      <c r="M11" t="s">
        <v>3</v>
      </c>
      <c r="N11" t="s">
        <v>4</v>
      </c>
      <c r="O11" t="s">
        <v>26</v>
      </c>
      <c r="P11" t="s">
        <v>27</v>
      </c>
      <c r="Q11" t="s">
        <v>21</v>
      </c>
    </row>
    <row r="12" spans="1:17" x14ac:dyDescent="0.25">
      <c r="A12" s="7">
        <v>11</v>
      </c>
      <c r="B12" s="4">
        <v>45413.599247685197</v>
      </c>
      <c r="C12" s="4" t="s">
        <v>119</v>
      </c>
      <c r="D12" s="1" t="s">
        <v>10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33</v>
      </c>
      <c r="L12" t="s">
        <v>34</v>
      </c>
      <c r="M12" t="s">
        <v>4</v>
      </c>
      <c r="N12" t="s">
        <v>3</v>
      </c>
      <c r="O12" t="s">
        <v>26</v>
      </c>
      <c r="P12" t="s">
        <v>27</v>
      </c>
      <c r="Q12" t="s">
        <v>9</v>
      </c>
    </row>
    <row r="13" spans="1:17" x14ac:dyDescent="0.25">
      <c r="A13" s="7">
        <v>12</v>
      </c>
      <c r="B13" s="4">
        <v>45413.599965277797</v>
      </c>
      <c r="C13" s="4" t="s">
        <v>120</v>
      </c>
      <c r="D13" s="1" t="s">
        <v>2</v>
      </c>
      <c r="E13" t="s">
        <v>3</v>
      </c>
      <c r="F13" t="s">
        <v>4</v>
      </c>
      <c r="G13" t="s">
        <v>3</v>
      </c>
      <c r="H13" t="s">
        <v>4</v>
      </c>
      <c r="I13" t="s">
        <v>4</v>
      </c>
      <c r="J13" t="s">
        <v>3</v>
      </c>
      <c r="K13" t="s">
        <v>31</v>
      </c>
      <c r="L13" t="s">
        <v>35</v>
      </c>
      <c r="M13" t="s">
        <v>4</v>
      </c>
      <c r="N13" t="s">
        <v>3</v>
      </c>
      <c r="O13" t="s">
        <v>26</v>
      </c>
      <c r="P13" t="s">
        <v>12</v>
      </c>
      <c r="Q13" t="s">
        <v>36</v>
      </c>
    </row>
    <row r="14" spans="1:17" x14ac:dyDescent="0.25">
      <c r="A14" s="7">
        <v>13</v>
      </c>
      <c r="B14" s="4">
        <v>45413.600266203699</v>
      </c>
      <c r="C14" s="4" t="s">
        <v>121</v>
      </c>
      <c r="D14" s="1" t="s">
        <v>10</v>
      </c>
      <c r="E14" t="s">
        <v>4</v>
      </c>
      <c r="F14" t="s">
        <v>4</v>
      </c>
      <c r="G14" t="s">
        <v>3</v>
      </c>
      <c r="H14" t="s">
        <v>4</v>
      </c>
      <c r="I14" t="s">
        <v>4</v>
      </c>
      <c r="J14" t="s">
        <v>3</v>
      </c>
      <c r="K14" t="s">
        <v>24</v>
      </c>
      <c r="L14" t="s">
        <v>37</v>
      </c>
      <c r="M14" t="s">
        <v>4</v>
      </c>
      <c r="N14" t="s">
        <v>3</v>
      </c>
      <c r="O14" t="s">
        <v>7</v>
      </c>
      <c r="P14" t="s">
        <v>27</v>
      </c>
      <c r="Q14" t="s">
        <v>21</v>
      </c>
    </row>
    <row r="15" spans="1:17" x14ac:dyDescent="0.25">
      <c r="A15" s="7">
        <v>14</v>
      </c>
      <c r="B15" s="4">
        <v>45413.600601851896</v>
      </c>
      <c r="C15" s="4" t="s">
        <v>122</v>
      </c>
      <c r="D15" s="1" t="s">
        <v>2</v>
      </c>
      <c r="E15" t="s">
        <v>3</v>
      </c>
      <c r="F15" t="s">
        <v>4</v>
      </c>
      <c r="G15" t="s">
        <v>3</v>
      </c>
      <c r="H15" t="s">
        <v>4</v>
      </c>
      <c r="I15" t="s">
        <v>4</v>
      </c>
      <c r="J15" t="s">
        <v>3</v>
      </c>
      <c r="K15" t="s">
        <v>38</v>
      </c>
      <c r="L15" t="s">
        <v>11</v>
      </c>
      <c r="M15" t="s">
        <v>4</v>
      </c>
      <c r="N15" t="s">
        <v>4</v>
      </c>
      <c r="O15" t="s">
        <v>26</v>
      </c>
      <c r="P15" t="s">
        <v>13</v>
      </c>
      <c r="Q15" t="s">
        <v>14</v>
      </c>
    </row>
    <row r="16" spans="1:17" x14ac:dyDescent="0.25">
      <c r="A16" s="7">
        <v>15</v>
      </c>
      <c r="B16" s="4">
        <v>45413.600960648102</v>
      </c>
      <c r="C16" s="4" t="s">
        <v>123</v>
      </c>
      <c r="D16" s="1" t="s">
        <v>2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4</v>
      </c>
      <c r="K16" t="s">
        <v>39</v>
      </c>
      <c r="L16" t="s">
        <v>20</v>
      </c>
      <c r="M16" t="s">
        <v>3</v>
      </c>
      <c r="N16" t="s">
        <v>4</v>
      </c>
      <c r="O16" t="s">
        <v>26</v>
      </c>
      <c r="P16" t="s">
        <v>17</v>
      </c>
      <c r="Q16" t="s">
        <v>14</v>
      </c>
    </row>
    <row r="17" spans="1:17" x14ac:dyDescent="0.25">
      <c r="A17" s="7">
        <v>16</v>
      </c>
      <c r="B17" s="4">
        <v>45413.653854166703</v>
      </c>
      <c r="C17" s="4" t="s">
        <v>124</v>
      </c>
      <c r="D17" s="1" t="s">
        <v>2</v>
      </c>
      <c r="E17" t="s">
        <v>3</v>
      </c>
      <c r="F17" t="s">
        <v>3</v>
      </c>
      <c r="G17" t="s">
        <v>4</v>
      </c>
      <c r="H17" t="s">
        <v>3</v>
      </c>
      <c r="I17" t="s">
        <v>4</v>
      </c>
      <c r="J17" t="s">
        <v>3</v>
      </c>
      <c r="K17" t="s">
        <v>24</v>
      </c>
      <c r="L17" t="s">
        <v>40</v>
      </c>
      <c r="M17" t="s">
        <v>4</v>
      </c>
      <c r="N17" t="s">
        <v>3</v>
      </c>
      <c r="O17" t="s">
        <v>41</v>
      </c>
      <c r="P17" t="s">
        <v>17</v>
      </c>
      <c r="Q17" t="s">
        <v>9</v>
      </c>
    </row>
    <row r="18" spans="1:17" x14ac:dyDescent="0.25">
      <c r="A18" s="7">
        <v>17</v>
      </c>
      <c r="B18" s="4">
        <v>45413.654421296298</v>
      </c>
      <c r="C18" s="4" t="s">
        <v>125</v>
      </c>
      <c r="D18" s="1" t="s">
        <v>10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31</v>
      </c>
      <c r="L18" t="s">
        <v>32</v>
      </c>
      <c r="M18" t="s">
        <v>4</v>
      </c>
      <c r="N18" t="s">
        <v>4</v>
      </c>
      <c r="O18" t="s">
        <v>26</v>
      </c>
      <c r="P18" t="s">
        <v>17</v>
      </c>
      <c r="Q18" t="s">
        <v>9</v>
      </c>
    </row>
    <row r="19" spans="1:17" x14ac:dyDescent="0.25">
      <c r="A19" s="7">
        <v>18</v>
      </c>
      <c r="B19" s="4">
        <v>45413.654780092598</v>
      </c>
      <c r="C19" s="4" t="s">
        <v>131</v>
      </c>
      <c r="D19" s="1" t="s">
        <v>2</v>
      </c>
      <c r="E19" t="s">
        <v>4</v>
      </c>
      <c r="F19" t="s">
        <v>3</v>
      </c>
      <c r="G19" t="s">
        <v>4</v>
      </c>
      <c r="H19" t="s">
        <v>3</v>
      </c>
      <c r="I19" t="s">
        <v>4</v>
      </c>
      <c r="J19" t="s">
        <v>4</v>
      </c>
      <c r="K19" t="s">
        <v>42</v>
      </c>
      <c r="L19" t="s">
        <v>32</v>
      </c>
      <c r="M19" t="s">
        <v>3</v>
      </c>
      <c r="N19" t="s">
        <v>4</v>
      </c>
      <c r="O19" t="s">
        <v>7</v>
      </c>
      <c r="P19" t="s">
        <v>27</v>
      </c>
      <c r="Q19" t="s">
        <v>14</v>
      </c>
    </row>
    <row r="20" spans="1:17" x14ac:dyDescent="0.25">
      <c r="A20" s="7">
        <v>19</v>
      </c>
      <c r="B20" s="4">
        <v>45413.6551736111</v>
      </c>
      <c r="C20" s="4" t="s">
        <v>132</v>
      </c>
      <c r="D20" s="1" t="s">
        <v>2</v>
      </c>
      <c r="E20" t="s">
        <v>4</v>
      </c>
      <c r="F20" t="s">
        <v>3</v>
      </c>
      <c r="G20" t="s">
        <v>4</v>
      </c>
      <c r="H20" t="s">
        <v>3</v>
      </c>
      <c r="I20" t="s">
        <v>4</v>
      </c>
      <c r="J20" t="s">
        <v>3</v>
      </c>
      <c r="K20" t="s">
        <v>43</v>
      </c>
      <c r="L20" t="s">
        <v>29</v>
      </c>
      <c r="M20" t="s">
        <v>3</v>
      </c>
      <c r="N20" t="s">
        <v>3</v>
      </c>
      <c r="O20" t="s">
        <v>26</v>
      </c>
      <c r="P20" t="s">
        <v>12</v>
      </c>
      <c r="Q20" t="s">
        <v>14</v>
      </c>
    </row>
    <row r="21" spans="1:17" x14ac:dyDescent="0.25">
      <c r="A21" s="7">
        <v>20</v>
      </c>
      <c r="B21" s="4">
        <v>45413.655474537001</v>
      </c>
      <c r="C21" s="4" t="s">
        <v>126</v>
      </c>
      <c r="D21" s="1" t="s">
        <v>10</v>
      </c>
      <c r="E21" t="s">
        <v>4</v>
      </c>
      <c r="F21" t="s">
        <v>3</v>
      </c>
      <c r="G21" t="s">
        <v>4</v>
      </c>
      <c r="H21" t="s">
        <v>3</v>
      </c>
      <c r="I21" t="s">
        <v>4</v>
      </c>
      <c r="J21" t="s">
        <v>3</v>
      </c>
      <c r="K21" t="s">
        <v>44</v>
      </c>
      <c r="L21" t="s">
        <v>32</v>
      </c>
      <c r="M21" t="s">
        <v>4</v>
      </c>
      <c r="N21" t="s">
        <v>4</v>
      </c>
      <c r="O21" t="s">
        <v>7</v>
      </c>
      <c r="P21" t="s">
        <v>45</v>
      </c>
      <c r="Q21" t="s">
        <v>14</v>
      </c>
    </row>
    <row r="22" spans="1:17" x14ac:dyDescent="0.25">
      <c r="A22" s="7">
        <v>21</v>
      </c>
      <c r="B22" s="4">
        <v>45413.655763888899</v>
      </c>
      <c r="C22" s="4" t="s">
        <v>133</v>
      </c>
      <c r="D22" s="1" t="s">
        <v>2</v>
      </c>
      <c r="E22" t="s">
        <v>4</v>
      </c>
      <c r="F22" t="s">
        <v>4</v>
      </c>
      <c r="G22" t="s">
        <v>4</v>
      </c>
      <c r="H22" t="s">
        <v>4</v>
      </c>
      <c r="I22" t="s">
        <v>3</v>
      </c>
      <c r="J22" t="s">
        <v>4</v>
      </c>
      <c r="K22" t="s">
        <v>42</v>
      </c>
      <c r="L22" t="s">
        <v>46</v>
      </c>
      <c r="M22" t="s">
        <v>3</v>
      </c>
      <c r="N22" t="s">
        <v>3</v>
      </c>
      <c r="O22" t="s">
        <v>7</v>
      </c>
      <c r="P22" t="s">
        <v>45</v>
      </c>
      <c r="Q22" t="s">
        <v>14</v>
      </c>
    </row>
    <row r="23" spans="1:17" x14ac:dyDescent="0.25">
      <c r="A23" s="7">
        <v>22</v>
      </c>
      <c r="B23" s="4">
        <v>45413.656261574099</v>
      </c>
      <c r="C23" s="4" t="s">
        <v>134</v>
      </c>
      <c r="D23" s="1" t="s">
        <v>2</v>
      </c>
      <c r="E23" t="s">
        <v>3</v>
      </c>
      <c r="F23" t="s">
        <v>4</v>
      </c>
      <c r="G23" t="s">
        <v>3</v>
      </c>
      <c r="H23" t="s">
        <v>4</v>
      </c>
      <c r="I23" t="s">
        <v>4</v>
      </c>
      <c r="J23" t="s">
        <v>4</v>
      </c>
      <c r="K23" t="s">
        <v>19</v>
      </c>
      <c r="L23" t="s">
        <v>47</v>
      </c>
      <c r="M23" t="s">
        <v>3</v>
      </c>
      <c r="N23" t="s">
        <v>4</v>
      </c>
      <c r="O23" t="s">
        <v>26</v>
      </c>
      <c r="P23" t="s">
        <v>17</v>
      </c>
      <c r="Q23" t="s">
        <v>21</v>
      </c>
    </row>
    <row r="24" spans="1:17" x14ac:dyDescent="0.25">
      <c r="A24" s="7">
        <v>23</v>
      </c>
      <c r="B24" s="4">
        <v>45413.656527777799</v>
      </c>
      <c r="C24" s="4" t="s">
        <v>127</v>
      </c>
      <c r="D24" s="1" t="s">
        <v>10</v>
      </c>
      <c r="E24" t="s">
        <v>4</v>
      </c>
      <c r="F24" t="s">
        <v>3</v>
      </c>
      <c r="G24" t="s">
        <v>4</v>
      </c>
      <c r="H24" t="s">
        <v>3</v>
      </c>
      <c r="I24" t="s">
        <v>4</v>
      </c>
      <c r="J24" t="s">
        <v>4</v>
      </c>
      <c r="K24" t="s">
        <v>19</v>
      </c>
      <c r="L24" t="s">
        <v>48</v>
      </c>
      <c r="M24" t="s">
        <v>4</v>
      </c>
      <c r="N24" t="s">
        <v>3</v>
      </c>
      <c r="O24" t="s">
        <v>26</v>
      </c>
      <c r="P24" t="s">
        <v>27</v>
      </c>
      <c r="Q24" t="s">
        <v>21</v>
      </c>
    </row>
    <row r="25" spans="1:17" x14ac:dyDescent="0.25">
      <c r="A25" s="7">
        <v>24</v>
      </c>
      <c r="B25" s="4">
        <v>45413.6567939815</v>
      </c>
      <c r="C25" s="4" t="s">
        <v>135</v>
      </c>
      <c r="D25" s="1" t="s">
        <v>2</v>
      </c>
      <c r="E25" t="s">
        <v>4</v>
      </c>
      <c r="F25" t="s">
        <v>3</v>
      </c>
      <c r="G25" t="s">
        <v>4</v>
      </c>
      <c r="H25" t="s">
        <v>4</v>
      </c>
      <c r="I25" t="s">
        <v>4</v>
      </c>
      <c r="J25" t="s">
        <v>3</v>
      </c>
      <c r="K25" t="s">
        <v>31</v>
      </c>
      <c r="L25" t="s">
        <v>20</v>
      </c>
      <c r="M25" t="s">
        <v>3</v>
      </c>
      <c r="N25" t="s">
        <v>4</v>
      </c>
      <c r="O25" t="s">
        <v>7</v>
      </c>
      <c r="P25" t="s">
        <v>49</v>
      </c>
      <c r="Q25" t="s">
        <v>21</v>
      </c>
    </row>
    <row r="26" spans="1:17" x14ac:dyDescent="0.25">
      <c r="A26" s="7">
        <v>25</v>
      </c>
      <c r="B26" s="4">
        <v>45413.657037037003</v>
      </c>
      <c r="C26" s="4" t="s">
        <v>128</v>
      </c>
      <c r="D26" s="1" t="s">
        <v>10</v>
      </c>
      <c r="E26" t="s">
        <v>3</v>
      </c>
      <c r="F26" t="s">
        <v>4</v>
      </c>
      <c r="G26" t="s">
        <v>3</v>
      </c>
      <c r="H26" t="s">
        <v>4</v>
      </c>
      <c r="I26" t="s">
        <v>3</v>
      </c>
      <c r="J26" t="s">
        <v>3</v>
      </c>
      <c r="K26" t="s">
        <v>31</v>
      </c>
      <c r="L26" t="s">
        <v>32</v>
      </c>
      <c r="M26" t="s">
        <v>4</v>
      </c>
      <c r="N26" t="s">
        <v>3</v>
      </c>
      <c r="O26" t="s">
        <v>7</v>
      </c>
      <c r="P26" t="s">
        <v>50</v>
      </c>
      <c r="Q26" t="s">
        <v>21</v>
      </c>
    </row>
    <row r="27" spans="1:17" x14ac:dyDescent="0.25">
      <c r="A27" s="7">
        <v>26</v>
      </c>
      <c r="B27" s="4">
        <v>45413.657280092601</v>
      </c>
      <c r="C27" s="4" t="s">
        <v>136</v>
      </c>
      <c r="D27" s="1" t="s">
        <v>2</v>
      </c>
      <c r="E27" t="s">
        <v>4</v>
      </c>
      <c r="F27" t="s">
        <v>4</v>
      </c>
      <c r="G27" t="s">
        <v>4</v>
      </c>
      <c r="H27" t="s">
        <v>4</v>
      </c>
      <c r="I27" t="s">
        <v>4</v>
      </c>
      <c r="J27" t="s">
        <v>3</v>
      </c>
      <c r="K27" t="s">
        <v>39</v>
      </c>
      <c r="L27" t="s">
        <v>34</v>
      </c>
      <c r="M27" t="s">
        <v>4</v>
      </c>
      <c r="N27" t="s">
        <v>4</v>
      </c>
      <c r="O27" t="s">
        <v>7</v>
      </c>
      <c r="P27" t="s">
        <v>45</v>
      </c>
      <c r="Q27" t="s">
        <v>14</v>
      </c>
    </row>
    <row r="28" spans="1:17" x14ac:dyDescent="0.25">
      <c r="A28" s="7">
        <v>27</v>
      </c>
      <c r="B28" s="4">
        <v>45413.672025462998</v>
      </c>
      <c r="C28" s="4" t="s">
        <v>129</v>
      </c>
      <c r="D28" s="1" t="s">
        <v>10</v>
      </c>
      <c r="E28" t="s">
        <v>4</v>
      </c>
      <c r="F28" t="s">
        <v>3</v>
      </c>
      <c r="G28" t="s">
        <v>4</v>
      </c>
      <c r="H28" t="s">
        <v>4</v>
      </c>
      <c r="I28" t="s">
        <v>4</v>
      </c>
      <c r="J28" t="s">
        <v>4</v>
      </c>
      <c r="K28" t="s">
        <v>31</v>
      </c>
      <c r="L28" t="s">
        <v>32</v>
      </c>
      <c r="M28" t="s">
        <v>4</v>
      </c>
      <c r="N28" t="s">
        <v>4</v>
      </c>
      <c r="P28" t="s">
        <v>17</v>
      </c>
      <c r="Q28" t="s">
        <v>9</v>
      </c>
    </row>
    <row r="29" spans="1:17" x14ac:dyDescent="0.25">
      <c r="A29" s="7">
        <v>28</v>
      </c>
      <c r="B29" s="4">
        <v>45413.672222222202</v>
      </c>
      <c r="C29" s="4" t="s">
        <v>137</v>
      </c>
      <c r="D29" s="1" t="s">
        <v>2</v>
      </c>
      <c r="E29" t="s">
        <v>4</v>
      </c>
      <c r="F29" t="s">
        <v>3</v>
      </c>
      <c r="G29" t="s">
        <v>4</v>
      </c>
      <c r="H29" t="s">
        <v>3</v>
      </c>
      <c r="I29" t="s">
        <v>3</v>
      </c>
      <c r="J29" t="s">
        <v>4</v>
      </c>
      <c r="K29" t="s">
        <v>51</v>
      </c>
      <c r="L29" t="s">
        <v>46</v>
      </c>
      <c r="M29" t="s">
        <v>3</v>
      </c>
      <c r="N29" t="s">
        <v>4</v>
      </c>
      <c r="O29" t="s">
        <v>7</v>
      </c>
      <c r="P29" t="s">
        <v>27</v>
      </c>
      <c r="Q29" t="s">
        <v>21</v>
      </c>
    </row>
    <row r="30" spans="1:17" x14ac:dyDescent="0.25">
      <c r="A30" s="7">
        <v>29</v>
      </c>
      <c r="B30" s="4">
        <v>45413.672500000001</v>
      </c>
      <c r="C30" s="4" t="s">
        <v>138</v>
      </c>
      <c r="D30" s="1" t="s">
        <v>2</v>
      </c>
      <c r="E30" t="s">
        <v>4</v>
      </c>
      <c r="F30" t="s">
        <v>4</v>
      </c>
      <c r="G30" t="s">
        <v>3</v>
      </c>
      <c r="H30" t="s">
        <v>4</v>
      </c>
      <c r="I30" t="s">
        <v>4</v>
      </c>
      <c r="J30" t="s">
        <v>4</v>
      </c>
      <c r="K30" t="s">
        <v>31</v>
      </c>
      <c r="L30" t="s">
        <v>35</v>
      </c>
      <c r="M30" t="s">
        <v>4</v>
      </c>
      <c r="N30" t="s">
        <v>4</v>
      </c>
      <c r="O30" t="s">
        <v>26</v>
      </c>
      <c r="P30" t="s">
        <v>23</v>
      </c>
      <c r="Q30" t="s">
        <v>21</v>
      </c>
    </row>
    <row r="31" spans="1:17" x14ac:dyDescent="0.25">
      <c r="A31" s="7">
        <v>30</v>
      </c>
      <c r="B31" s="4">
        <v>45413.672708333303</v>
      </c>
      <c r="C31" s="4" t="s">
        <v>130</v>
      </c>
      <c r="D31" s="1" t="s">
        <v>10</v>
      </c>
      <c r="E31" t="s">
        <v>4</v>
      </c>
      <c r="F31" t="s">
        <v>4</v>
      </c>
      <c r="G31" t="s">
        <v>4</v>
      </c>
      <c r="H31" t="s">
        <v>4</v>
      </c>
      <c r="I31" t="s">
        <v>4</v>
      </c>
      <c r="J31" t="s">
        <v>4</v>
      </c>
      <c r="K31" t="s">
        <v>43</v>
      </c>
      <c r="L31" t="s">
        <v>35</v>
      </c>
      <c r="M31" t="s">
        <v>4</v>
      </c>
      <c r="N31" t="s">
        <v>4</v>
      </c>
      <c r="O31" t="s">
        <v>7</v>
      </c>
      <c r="P31" t="s">
        <v>52</v>
      </c>
      <c r="Q31" t="s">
        <v>21</v>
      </c>
    </row>
    <row r="32" spans="1:17" x14ac:dyDescent="0.25">
      <c r="A32" s="1">
        <f>SUBTOTAL(103,Table1[ID])</f>
        <v>30</v>
      </c>
      <c r="B32" s="54">
        <f>SUBTOTAL(101,Table1[Date completed])</f>
        <v>45413.164736111132</v>
      </c>
      <c r="C32" s="54"/>
      <c r="D32" s="6">
        <f>SUBTOTAL(103,Table1[Gender])</f>
        <v>30</v>
      </c>
      <c r="E32" s="6">
        <f>SUBTOTAL(103,Table1[Aware with the concept of "Green Jobs"])</f>
        <v>30</v>
      </c>
      <c r="F32" s="6">
        <f>SUBTOTAL(103,Table1[Aware of any green jobs in the aviation industry])</f>
        <v>30</v>
      </c>
      <c r="G32" s="6"/>
      <c r="H32" s="6"/>
      <c r="I32" s="6"/>
      <c r="J32" s="6"/>
      <c r="K32" s="6" t="e">
        <f>MODE(Table1[[ Skills or qualifications essential for individuals pursuing green jobs in the aviation industry]])</f>
        <v>#N/A</v>
      </c>
      <c r="L32" s="6"/>
      <c r="M32" s="6"/>
      <c r="N32" s="6"/>
      <c r="O32" s="6"/>
      <c r="P32" s="6"/>
      <c r="Q32" s="6"/>
    </row>
    <row r="33" spans="2:17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2:17" x14ac:dyDescent="0.25">
      <c r="D34" s="6"/>
    </row>
  </sheetData>
  <printOptions horizontalCentered="1" gridLines="1"/>
  <pageMargins left="0.70866141732283472" right="0.70866141732283472" top="0.74803149606299213" bottom="0.74803149606299213" header="0.31496062992125984" footer="0.31496062992125984"/>
  <pageSetup paperSize="9" orientation="portrait" blackAndWhite="1" r:id="rId1"/>
  <headerFooter>
    <oddHeader>Page &amp;P of &amp;N</oddHeader>
    <oddFooter>&amp;CPrepared by Byron Leukemans &amp;D&amp;RPage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6A6F-D4C5-4263-BF2D-C67FB735297B}">
  <sheetPr>
    <tabColor rgb="FFFFC000"/>
  </sheetPr>
  <dimension ref="A1:AD88"/>
  <sheetViews>
    <sheetView tabSelected="1" zoomScale="69" workbookViewId="0">
      <selection activeCell="N71" sqref="N71"/>
    </sheetView>
  </sheetViews>
  <sheetFormatPr defaultRowHeight="15" x14ac:dyDescent="0.25"/>
  <cols>
    <col min="1" max="1" width="9.140625" customWidth="1"/>
    <col min="2" max="2" width="10.7109375" bestFit="1" customWidth="1"/>
    <col min="4" max="4" width="11.140625" bestFit="1" customWidth="1"/>
    <col min="5" max="5" width="13.140625" bestFit="1" customWidth="1"/>
    <col min="9" max="9" width="7.42578125" customWidth="1"/>
    <col min="10" max="10" width="18.5703125" customWidth="1"/>
    <col min="11" max="11" width="6.5703125" customWidth="1"/>
    <col min="15" max="15" width="12" customWidth="1"/>
    <col min="17" max="17" width="7.5703125" hidden="1" customWidth="1"/>
    <col min="18" max="18" width="13.140625" hidden="1" customWidth="1"/>
    <col min="19" max="19" width="8.42578125" hidden="1" customWidth="1"/>
    <col min="20" max="20" width="17.5703125" customWidth="1"/>
    <col min="21" max="21" width="42.85546875" customWidth="1"/>
    <col min="23" max="23" width="14.140625" customWidth="1"/>
    <col min="24" max="24" width="15.85546875" customWidth="1"/>
    <col min="26" max="26" width="34.42578125" customWidth="1"/>
  </cols>
  <sheetData>
    <row r="1" spans="1:30" ht="18.75" x14ac:dyDescent="0.3">
      <c r="A1" s="62" t="s">
        <v>67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30" x14ac:dyDescent="0.25">
      <c r="A2" s="67">
        <f ca="1">NOW()</f>
        <v>45422.537061226853</v>
      </c>
      <c r="B2" s="68"/>
      <c r="C2" s="68"/>
      <c r="D2" s="68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30" ht="15.75" thickBot="1" x14ac:dyDescent="0.3">
      <c r="A3" s="69" t="s">
        <v>101</v>
      </c>
      <c r="B3" s="69"/>
      <c r="C3" s="69"/>
      <c r="D3" s="69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30" ht="19.5" thickBot="1" x14ac:dyDescent="0.35">
      <c r="A4" s="59" t="s">
        <v>92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34"/>
      <c r="Q4" s="47"/>
      <c r="R4" s="47"/>
      <c r="S4" s="47"/>
      <c r="T4" s="56" t="s">
        <v>91</v>
      </c>
      <c r="U4" s="57"/>
      <c r="V4" s="57"/>
      <c r="W4" s="57"/>
      <c r="X4" s="57"/>
      <c r="Y4" s="57"/>
      <c r="Z4" s="58"/>
      <c r="AB4" s="6"/>
      <c r="AC4" s="6"/>
      <c r="AD4" s="6"/>
    </row>
    <row r="5" spans="1:30" ht="18.75" x14ac:dyDescent="0.3">
      <c r="A5" s="8"/>
      <c r="B5" s="64" t="s">
        <v>1</v>
      </c>
      <c r="C5" s="65"/>
      <c r="D5" s="65"/>
      <c r="E5" s="65"/>
      <c r="F5" s="8"/>
      <c r="G5" s="9"/>
      <c r="H5" s="46"/>
      <c r="I5" s="13"/>
      <c r="J5" s="66" t="s">
        <v>69</v>
      </c>
      <c r="K5" s="66"/>
      <c r="L5" s="66"/>
      <c r="M5" s="66"/>
      <c r="N5" s="66"/>
      <c r="O5" s="15"/>
      <c r="P5" s="46"/>
      <c r="Q5" s="63" t="s">
        <v>76</v>
      </c>
      <c r="R5" s="63"/>
      <c r="T5" s="90" t="s">
        <v>93</v>
      </c>
      <c r="U5" s="90"/>
      <c r="V5" s="34"/>
      <c r="W5" s="90" t="s">
        <v>98</v>
      </c>
      <c r="X5" s="90"/>
      <c r="Y5" s="90"/>
      <c r="Z5" s="90"/>
      <c r="AC5" s="6"/>
      <c r="AD5" s="6"/>
    </row>
    <row r="6" spans="1:30" ht="15.75" x14ac:dyDescent="0.25">
      <c r="A6" s="8"/>
      <c r="B6" s="19" t="s">
        <v>2</v>
      </c>
      <c r="C6" s="20" t="s">
        <v>10</v>
      </c>
      <c r="D6" s="21" t="s">
        <v>68</v>
      </c>
      <c r="E6" s="8"/>
      <c r="F6" s="8"/>
      <c r="G6" s="9"/>
      <c r="H6" s="34"/>
      <c r="I6" s="13"/>
      <c r="J6" s="25" t="s">
        <v>73</v>
      </c>
      <c r="K6" s="26"/>
      <c r="L6" s="26"/>
      <c r="M6" s="82" t="s">
        <v>97</v>
      </c>
      <c r="N6" s="27">
        <f>COUNTIFS(Q6:Q36,1,R6:R36,1)</f>
        <v>11</v>
      </c>
      <c r="O6" s="15"/>
      <c r="P6" s="34"/>
      <c r="Q6">
        <f>IF('Survey results'!D2="Male",1,0)</f>
        <v>1</v>
      </c>
      <c r="R6">
        <f>IF('Survey results'!E2="Yes",1,0)</f>
        <v>0</v>
      </c>
      <c r="S6">
        <f>IF('Survey results'!E2="No",2,3)</f>
        <v>2</v>
      </c>
      <c r="T6" s="38" t="s">
        <v>4</v>
      </c>
      <c r="U6" s="48" t="s">
        <v>3</v>
      </c>
      <c r="V6" s="34"/>
      <c r="W6" s="1">
        <v>1</v>
      </c>
      <c r="X6" t="str">
        <f>VLOOKUP(W6,Table1[[#Headers],[#Data],[ID]:[Gender]],4,TRUE)</f>
        <v>Male</v>
      </c>
      <c r="Z6" s="5"/>
    </row>
    <row r="7" spans="1:30" ht="15.75" x14ac:dyDescent="0.25">
      <c r="A7" s="8"/>
      <c r="B7" s="22">
        <f>COUNTIF(Table1[Gender],"Male")</f>
        <v>18</v>
      </c>
      <c r="C7" s="23">
        <f>COUNTIF(Table1[Gender],"Female")</f>
        <v>12</v>
      </c>
      <c r="D7" s="24">
        <f>SUM(B7:C7)</f>
        <v>30</v>
      </c>
      <c r="E7" s="44" t="s">
        <v>96</v>
      </c>
      <c r="F7" s="8"/>
      <c r="G7" s="9"/>
      <c r="H7" s="34"/>
      <c r="I7" s="13"/>
      <c r="J7" s="28" t="s">
        <v>74</v>
      </c>
      <c r="K7" s="14"/>
      <c r="L7" s="14"/>
      <c r="M7" s="83"/>
      <c r="N7" s="29">
        <f>COUNTIFS(Q6:Q36,0,R6:R36,1)</f>
        <v>11</v>
      </c>
      <c r="O7" s="15"/>
      <c r="P7" s="34"/>
      <c r="Q7">
        <f>IF('Survey results'!D3="Male",1,0)</f>
        <v>0</v>
      </c>
      <c r="R7">
        <f>IF('Survey results'!E3="Yes",1,0)</f>
        <v>1</v>
      </c>
      <c r="S7">
        <f>IF('Survey results'!E3="No",2,3)</f>
        <v>3</v>
      </c>
      <c r="T7">
        <f>IF('Survey results'!N2="Yes",1,0)</f>
        <v>1</v>
      </c>
      <c r="U7" s="49">
        <f>IF('Survey results'!N2="No",1,0)</f>
        <v>0</v>
      </c>
      <c r="V7" s="34"/>
      <c r="W7" s="1">
        <v>2</v>
      </c>
      <c r="X7" t="str">
        <f>VLOOKUP(W7,Table1[[#Headers],[#Data],[ID]:[Gender]],4,TRUE)</f>
        <v>Female</v>
      </c>
      <c r="Z7" s="5"/>
    </row>
    <row r="8" spans="1:30" ht="15.75" x14ac:dyDescent="0.25">
      <c r="A8" s="8"/>
      <c r="B8" s="8"/>
      <c r="C8" s="8"/>
      <c r="D8" s="8"/>
      <c r="E8" s="8"/>
      <c r="F8" s="8"/>
      <c r="G8" s="9"/>
      <c r="H8" s="34"/>
      <c r="I8" s="13"/>
      <c r="J8" s="30" t="s">
        <v>77</v>
      </c>
      <c r="K8" s="14"/>
      <c r="L8" s="14"/>
      <c r="M8" s="83"/>
      <c r="N8" s="29">
        <f>COUNTIFS(Q6:Q36,1,S6:S36,2)</f>
        <v>7</v>
      </c>
      <c r="O8" s="15"/>
      <c r="P8" s="34"/>
      <c r="Q8">
        <f>IF('Survey results'!D4="Male",1,0)</f>
        <v>1</v>
      </c>
      <c r="R8">
        <f>IF('Survey results'!E4="Yes",1,0)</f>
        <v>1</v>
      </c>
      <c r="S8">
        <f>IF('Survey results'!E4="No",2,3)</f>
        <v>3</v>
      </c>
      <c r="T8">
        <f>IF('Survey results'!N3="Yes",1,0)</f>
        <v>0</v>
      </c>
      <c r="U8" s="49">
        <f>IF('Survey results'!N3="No",1,0)</f>
        <v>1</v>
      </c>
      <c r="V8" s="34"/>
      <c r="W8" s="1">
        <v>3</v>
      </c>
      <c r="X8" t="str">
        <f>VLOOKUP(W8,Table1[[#Headers],[#Data],[ID]:[Gender]],4,TRUE)</f>
        <v>Male</v>
      </c>
      <c r="Z8" s="5"/>
    </row>
    <row r="9" spans="1:30" ht="15.75" x14ac:dyDescent="0.25">
      <c r="A9" s="8"/>
      <c r="B9" s="8"/>
      <c r="C9" s="8"/>
      <c r="D9" s="8"/>
      <c r="E9" s="8"/>
      <c r="F9" s="8"/>
      <c r="G9" s="9"/>
      <c r="H9" s="34"/>
      <c r="I9" s="13"/>
      <c r="J9" s="31" t="s">
        <v>75</v>
      </c>
      <c r="K9" s="32"/>
      <c r="L9" s="32"/>
      <c r="M9" s="84"/>
      <c r="N9" s="33">
        <f>COUNTIFS(Q6:Q36,0,S6:S36,2)</f>
        <v>1</v>
      </c>
      <c r="O9" s="15"/>
      <c r="P9" s="34"/>
      <c r="Q9">
        <f>IF('Survey results'!D5="Male",1,0)</f>
        <v>0</v>
      </c>
      <c r="R9">
        <f>IF('Survey results'!E5="Yes",1,0)</f>
        <v>1</v>
      </c>
      <c r="S9">
        <f>IF('Survey results'!E5="No",2,3)</f>
        <v>3</v>
      </c>
      <c r="T9">
        <f>IF('Survey results'!N4="Yes",1,0)</f>
        <v>1</v>
      </c>
      <c r="U9" s="49">
        <f>IF('Survey results'!N4="No",1,0)</f>
        <v>0</v>
      </c>
      <c r="V9" s="34"/>
      <c r="W9" s="1">
        <v>4</v>
      </c>
      <c r="X9" t="str">
        <f>VLOOKUP(W9,Table1[[#Headers],[#Data],[ID]:[Gender]],4,TRUE)</f>
        <v>Female</v>
      </c>
      <c r="Z9" s="5"/>
    </row>
    <row r="10" spans="1:30" x14ac:dyDescent="0.25">
      <c r="A10" s="8"/>
      <c r="B10" s="8"/>
      <c r="C10" s="8"/>
      <c r="D10" s="8"/>
      <c r="E10" s="8"/>
      <c r="F10" s="8"/>
      <c r="G10" s="9"/>
      <c r="H10" s="34"/>
      <c r="I10" s="13"/>
      <c r="J10" s="14"/>
      <c r="K10" s="14"/>
      <c r="L10" s="14"/>
      <c r="M10" s="14"/>
      <c r="N10" s="14"/>
      <c r="O10" s="15"/>
      <c r="P10" s="34"/>
      <c r="Q10">
        <f>IF('Survey results'!D6="Male",1,0)</f>
        <v>1</v>
      </c>
      <c r="R10">
        <f>IF('Survey results'!E6="Yes",1,0)</f>
        <v>1</v>
      </c>
      <c r="S10">
        <f>IF('Survey results'!E6="No",2,3)</f>
        <v>3</v>
      </c>
      <c r="T10">
        <f>IF('Survey results'!N5="Yes",1,0)</f>
        <v>0</v>
      </c>
      <c r="U10" s="49">
        <f>IF('Survey results'!N5="No",1,0)</f>
        <v>1</v>
      </c>
      <c r="V10" s="34"/>
      <c r="W10" s="1">
        <v>5</v>
      </c>
      <c r="X10" t="str">
        <f>VLOOKUP(W10,Table1[[#Headers],[#Data],[ID]:[Gender]],4,TRUE)</f>
        <v>Male</v>
      </c>
      <c r="Z10" s="5"/>
    </row>
    <row r="11" spans="1:30" x14ac:dyDescent="0.25">
      <c r="A11" s="8"/>
      <c r="B11" s="8"/>
      <c r="C11" s="8"/>
      <c r="D11" s="8"/>
      <c r="E11" s="8"/>
      <c r="F11" s="8"/>
      <c r="G11" s="9"/>
      <c r="H11" s="34"/>
      <c r="I11" s="13"/>
      <c r="J11" s="14"/>
      <c r="K11" s="14"/>
      <c r="L11" s="14"/>
      <c r="M11" s="14"/>
      <c r="N11" s="14"/>
      <c r="O11" s="15"/>
      <c r="P11" s="34"/>
      <c r="Q11">
        <f>IF('Survey results'!D7="Male",1,0)</f>
        <v>1</v>
      </c>
      <c r="R11">
        <f>IF('Survey results'!E7="Yes",1,0)</f>
        <v>1</v>
      </c>
      <c r="S11">
        <f>IF('Survey results'!E7="No",2,3)</f>
        <v>3</v>
      </c>
      <c r="T11">
        <f>IF('Survey results'!N6="Yes",1,0)</f>
        <v>0</v>
      </c>
      <c r="U11" s="49">
        <f>IF('Survey results'!N6="No",1,0)</f>
        <v>1</v>
      </c>
      <c r="V11" s="34"/>
      <c r="W11" s="1">
        <v>6</v>
      </c>
      <c r="X11" t="str">
        <f>VLOOKUP(W11,Table1[[#Headers],[#Data],[ID]:[Gender]],4,TRUE)</f>
        <v>Male</v>
      </c>
      <c r="Z11" s="5"/>
    </row>
    <row r="12" spans="1:30" x14ac:dyDescent="0.25">
      <c r="A12" s="8"/>
      <c r="B12" s="8"/>
      <c r="C12" s="8"/>
      <c r="D12" s="8"/>
      <c r="E12" s="8"/>
      <c r="F12" s="8"/>
      <c r="G12" s="9"/>
      <c r="H12" s="34"/>
      <c r="I12" s="13"/>
      <c r="J12" s="14"/>
      <c r="K12" s="14"/>
      <c r="L12" s="14"/>
      <c r="M12" s="14"/>
      <c r="N12" s="14"/>
      <c r="O12" s="15"/>
      <c r="P12" s="34"/>
      <c r="Q12">
        <f>IF('Survey results'!D8="Male",1,0)</f>
        <v>1</v>
      </c>
      <c r="R12">
        <f>IF('Survey results'!E8="Yes",1,0)</f>
        <v>0</v>
      </c>
      <c r="S12">
        <f>IF('Survey results'!E8="No",2,3)</f>
        <v>2</v>
      </c>
      <c r="T12">
        <f>IF('Survey results'!N7="Yes",1,0)</f>
        <v>1</v>
      </c>
      <c r="U12" s="49">
        <f>IF('Survey results'!N7="No",1,0)</f>
        <v>0</v>
      </c>
      <c r="V12" s="34"/>
      <c r="W12" s="1">
        <v>7</v>
      </c>
      <c r="X12" t="str">
        <f>VLOOKUP(W12,Table1[[#Headers],[#Data],[ID]:[Gender]],4,TRUE)</f>
        <v>Male</v>
      </c>
      <c r="Z12" s="5"/>
    </row>
    <row r="13" spans="1:30" x14ac:dyDescent="0.25">
      <c r="A13" s="8"/>
      <c r="B13" s="8"/>
      <c r="C13" s="8"/>
      <c r="D13" s="8"/>
      <c r="E13" s="8"/>
      <c r="F13" s="8"/>
      <c r="G13" s="9"/>
      <c r="H13" s="34"/>
      <c r="I13" s="13"/>
      <c r="J13" s="14"/>
      <c r="K13" s="14"/>
      <c r="L13" s="14"/>
      <c r="M13" s="14"/>
      <c r="N13" s="14"/>
      <c r="O13" s="15"/>
      <c r="P13" s="34"/>
      <c r="Q13">
        <f>IF('Survey results'!D9="Male",1,0)</f>
        <v>0</v>
      </c>
      <c r="R13">
        <f>IF('Survey results'!E9="Yes",1,0)</f>
        <v>1</v>
      </c>
      <c r="S13">
        <f>IF('Survey results'!E9="No",2,3)</f>
        <v>3</v>
      </c>
      <c r="T13">
        <f>IF('Survey results'!N8="Yes",1,0)</f>
        <v>1</v>
      </c>
      <c r="U13" s="49">
        <f>IF('Survey results'!N8="No",1,0)</f>
        <v>0</v>
      </c>
      <c r="V13" s="34"/>
      <c r="W13" s="1">
        <v>8</v>
      </c>
      <c r="X13" t="str">
        <f>VLOOKUP(W13,Table1[[#Headers],[#Data],[ID]:[Gender]],4,TRUE)</f>
        <v>Female</v>
      </c>
      <c r="Z13" s="5"/>
    </row>
    <row r="14" spans="1:30" x14ac:dyDescent="0.25">
      <c r="A14" s="8"/>
      <c r="B14" s="8"/>
      <c r="C14" s="8"/>
      <c r="D14" s="8"/>
      <c r="E14" s="8"/>
      <c r="F14" s="8"/>
      <c r="G14" s="9"/>
      <c r="H14" s="34"/>
      <c r="I14" s="13"/>
      <c r="J14" s="14"/>
      <c r="K14" s="14"/>
      <c r="L14" s="14"/>
      <c r="M14" s="14"/>
      <c r="N14" s="14"/>
      <c r="O14" s="15"/>
      <c r="P14" s="34"/>
      <c r="Q14">
        <f>IF('Survey results'!D10="Male",1,0)</f>
        <v>0</v>
      </c>
      <c r="R14">
        <f>IF('Survey results'!E10="Yes",1,0)</f>
        <v>1</v>
      </c>
      <c r="S14">
        <f>IF('Survey results'!E10="No",2,3)</f>
        <v>3</v>
      </c>
      <c r="T14">
        <f>IF('Survey results'!N9="Yes",1,0)</f>
        <v>1</v>
      </c>
      <c r="U14" s="49">
        <f>IF('Survey results'!N9="No",1,0)</f>
        <v>0</v>
      </c>
      <c r="V14" s="34"/>
      <c r="W14" s="1">
        <v>9</v>
      </c>
      <c r="X14" t="str">
        <f>VLOOKUP(W14,Table1[[#Headers],[#Data],[ID]:[Gender]],4,TRUE)</f>
        <v>Female</v>
      </c>
      <c r="Z14" s="5"/>
    </row>
    <row r="15" spans="1:30" x14ac:dyDescent="0.25">
      <c r="A15" s="8"/>
      <c r="B15" s="8"/>
      <c r="C15" s="8"/>
      <c r="D15" s="8"/>
      <c r="E15" s="8"/>
      <c r="F15" s="8"/>
      <c r="G15" s="9"/>
      <c r="H15" s="34"/>
      <c r="I15" s="13"/>
      <c r="J15" s="14"/>
      <c r="K15" s="14"/>
      <c r="L15" s="14"/>
      <c r="M15" s="14"/>
      <c r="N15" s="14"/>
      <c r="O15" s="15"/>
      <c r="P15" s="34"/>
      <c r="Q15">
        <f>IF('Survey results'!D11="Male",1,0)</f>
        <v>1</v>
      </c>
      <c r="R15">
        <f>IF('Survey results'!E11="Yes",1,0)</f>
        <v>1</v>
      </c>
      <c r="S15">
        <f>IF('Survey results'!E11="No",2,3)</f>
        <v>3</v>
      </c>
      <c r="T15">
        <f>IF('Survey results'!N10="Yes",1,0)</f>
        <v>0</v>
      </c>
      <c r="U15" s="49">
        <f>IF('Survey results'!N10="No",1,0)</f>
        <v>1</v>
      </c>
      <c r="V15" s="34"/>
      <c r="W15" s="1">
        <v>10</v>
      </c>
      <c r="X15" t="str">
        <f>VLOOKUP(W15,Table1[[#Headers],[#Data],[ID]:[Gender]],4,TRUE)</f>
        <v>Male</v>
      </c>
      <c r="Z15" s="5"/>
    </row>
    <row r="16" spans="1:30" x14ac:dyDescent="0.25">
      <c r="A16" s="8"/>
      <c r="B16" s="8"/>
      <c r="C16" s="8"/>
      <c r="D16" s="8"/>
      <c r="E16" s="8"/>
      <c r="F16" s="8"/>
      <c r="G16" s="9"/>
      <c r="H16" s="34"/>
      <c r="I16" s="13"/>
      <c r="J16" s="14"/>
      <c r="K16" s="14"/>
      <c r="L16" s="14"/>
      <c r="M16" s="14"/>
      <c r="N16" s="14"/>
      <c r="O16" s="15"/>
      <c r="P16" s="34"/>
      <c r="Q16">
        <f>IF('Survey results'!D12="Male",1,0)</f>
        <v>0</v>
      </c>
      <c r="R16">
        <f>IF('Survey results'!E12="Yes",1,0)</f>
        <v>1</v>
      </c>
      <c r="S16">
        <f>IF('Survey results'!E12="No",2,3)</f>
        <v>3</v>
      </c>
      <c r="T16">
        <f>IF('Survey results'!N11="Yes",1,0)</f>
        <v>1</v>
      </c>
      <c r="U16" s="49">
        <f>IF('Survey results'!N11="No",1,0)</f>
        <v>0</v>
      </c>
      <c r="V16" s="34"/>
      <c r="W16" s="1">
        <v>11</v>
      </c>
      <c r="X16" t="str">
        <f>VLOOKUP(W16,Table1[[#Headers],[#Data],[ID]:[Gender]],4,TRUE)</f>
        <v>Female</v>
      </c>
      <c r="Z16" s="5"/>
    </row>
    <row r="17" spans="1:26" x14ac:dyDescent="0.25">
      <c r="A17" s="8"/>
      <c r="B17" s="8"/>
      <c r="C17" s="8"/>
      <c r="D17" s="8"/>
      <c r="E17" s="8"/>
      <c r="F17" s="8"/>
      <c r="G17" s="9"/>
      <c r="H17" s="34"/>
      <c r="I17" s="13"/>
      <c r="J17" s="14"/>
      <c r="K17" s="14"/>
      <c r="L17" s="14"/>
      <c r="M17" s="14"/>
      <c r="N17" s="14"/>
      <c r="O17" s="15"/>
      <c r="P17" s="34"/>
      <c r="Q17">
        <f>IF('Survey results'!D13="Male",1,0)</f>
        <v>1</v>
      </c>
      <c r="R17">
        <f>IF('Survey results'!E13="Yes",1,0)</f>
        <v>0</v>
      </c>
      <c r="S17">
        <f>IF('Survey results'!E13="No",2,3)</f>
        <v>2</v>
      </c>
      <c r="T17">
        <f>IF('Survey results'!N12="Yes",1,0)</f>
        <v>0</v>
      </c>
      <c r="U17" s="49">
        <f>IF('Survey results'!N12="No",1,0)</f>
        <v>1</v>
      </c>
      <c r="V17" s="34"/>
      <c r="W17" s="1">
        <v>12</v>
      </c>
      <c r="X17" t="str">
        <f>VLOOKUP(W17,Table1[[#Headers],[#Data],[ID]:[Gender]],4,TRUE)</f>
        <v>Male</v>
      </c>
      <c r="Z17" s="5"/>
    </row>
    <row r="18" spans="1:26" x14ac:dyDescent="0.25">
      <c r="A18" s="8"/>
      <c r="B18" s="8"/>
      <c r="C18" s="8"/>
      <c r="D18" s="8"/>
      <c r="E18" s="8"/>
      <c r="F18" s="8"/>
      <c r="G18" s="9"/>
      <c r="H18" s="34"/>
      <c r="I18" s="13"/>
      <c r="J18" s="14"/>
      <c r="K18" s="14"/>
      <c r="L18" s="14"/>
      <c r="M18" s="14"/>
      <c r="N18" s="14"/>
      <c r="O18" s="15"/>
      <c r="P18" s="34"/>
      <c r="Q18">
        <f>IF('Survey results'!D14="Male",1,0)</f>
        <v>0</v>
      </c>
      <c r="R18">
        <f>IF('Survey results'!E14="Yes",1,0)</f>
        <v>1</v>
      </c>
      <c r="S18">
        <f>IF('Survey results'!E14="No",2,3)</f>
        <v>3</v>
      </c>
      <c r="T18">
        <f>IF('Survey results'!N13="Yes",1,0)</f>
        <v>0</v>
      </c>
      <c r="U18" s="49">
        <f>IF('Survey results'!N13="No",1,0)</f>
        <v>1</v>
      </c>
      <c r="V18" s="34"/>
      <c r="W18" s="1">
        <v>13</v>
      </c>
      <c r="X18" t="str">
        <f>VLOOKUP(W18,Table1[[#Headers],[#Data],[ID]:[Gender]],4,TRUE)</f>
        <v>Female</v>
      </c>
      <c r="Z18" s="5"/>
    </row>
    <row r="19" spans="1:26" x14ac:dyDescent="0.25">
      <c r="A19" s="8"/>
      <c r="B19" s="8"/>
      <c r="C19" s="8"/>
      <c r="D19" s="8"/>
      <c r="E19" s="8"/>
      <c r="F19" s="8"/>
      <c r="G19" s="9"/>
      <c r="H19" s="34"/>
      <c r="I19" s="13"/>
      <c r="J19" s="14"/>
      <c r="K19" s="14"/>
      <c r="L19" s="14"/>
      <c r="M19" s="14"/>
      <c r="N19" s="14"/>
      <c r="O19" s="15"/>
      <c r="P19" s="34"/>
      <c r="Q19">
        <f>IF('Survey results'!D15="Male",1,0)</f>
        <v>1</v>
      </c>
      <c r="R19">
        <f>IF('Survey results'!E15="Yes",1,0)</f>
        <v>0</v>
      </c>
      <c r="S19">
        <f>IF('Survey results'!E15="No",2,3)</f>
        <v>2</v>
      </c>
      <c r="T19">
        <f>IF('Survey results'!N14="Yes",1,0)</f>
        <v>0</v>
      </c>
      <c r="U19" s="49">
        <f>IF('Survey results'!N14="No",1,0)</f>
        <v>1</v>
      </c>
      <c r="V19" s="34"/>
      <c r="W19" s="1">
        <v>14</v>
      </c>
      <c r="X19" t="str">
        <f>VLOOKUP(W19,Table1[[#Headers],[#Data],[ID]:[Gender]],4,TRUE)</f>
        <v>Male</v>
      </c>
      <c r="Z19" s="5"/>
    </row>
    <row r="20" spans="1:26" x14ac:dyDescent="0.25">
      <c r="A20" s="8"/>
      <c r="B20" s="8"/>
      <c r="C20" s="8"/>
      <c r="D20" s="8"/>
      <c r="E20" s="8"/>
      <c r="F20" s="8"/>
      <c r="G20" s="9"/>
      <c r="H20" s="34"/>
      <c r="I20" s="13"/>
      <c r="J20" s="14"/>
      <c r="K20" s="14"/>
      <c r="L20" s="14"/>
      <c r="M20" s="14"/>
      <c r="N20" s="14"/>
      <c r="O20" s="15"/>
      <c r="P20" s="34"/>
      <c r="Q20">
        <f>IF('Survey results'!D16="Male",1,0)</f>
        <v>1</v>
      </c>
      <c r="R20">
        <f>IF('Survey results'!E16="Yes",1,0)</f>
        <v>0</v>
      </c>
      <c r="S20">
        <f>IF('Survey results'!E16="No",2,3)</f>
        <v>2</v>
      </c>
      <c r="T20">
        <f>IF('Survey results'!N15="Yes",1,0)</f>
        <v>1</v>
      </c>
      <c r="U20" s="49">
        <f>IF('Survey results'!N15="No",1,0)</f>
        <v>0</v>
      </c>
      <c r="V20" s="34"/>
      <c r="W20" s="1">
        <v>15</v>
      </c>
      <c r="X20" t="str">
        <f>VLOOKUP(W20,Table1[[#Headers],[#Data],[ID]:[Gender]],4,TRUE)</f>
        <v>Male</v>
      </c>
      <c r="Z20" s="5"/>
    </row>
    <row r="21" spans="1:26" x14ac:dyDescent="0.25">
      <c r="A21" s="8"/>
      <c r="B21" s="8"/>
      <c r="C21" s="8"/>
      <c r="D21" s="8"/>
      <c r="E21" s="8"/>
      <c r="F21" s="8"/>
      <c r="G21" s="9"/>
      <c r="H21" s="34"/>
      <c r="I21" s="13"/>
      <c r="J21" s="14"/>
      <c r="K21" s="14"/>
      <c r="L21" s="14"/>
      <c r="M21" s="14"/>
      <c r="N21" s="14"/>
      <c r="O21" s="15"/>
      <c r="P21" s="34"/>
      <c r="Q21">
        <f>IF('Survey results'!D17="Male",1,0)</f>
        <v>1</v>
      </c>
      <c r="R21">
        <f>IF('Survey results'!E17="Yes",1,0)</f>
        <v>0</v>
      </c>
      <c r="S21">
        <f>IF('Survey results'!E17="No",2,3)</f>
        <v>2</v>
      </c>
      <c r="T21">
        <f>IF('Survey results'!N16="Yes",1,0)</f>
        <v>1</v>
      </c>
      <c r="U21" s="49">
        <f>IF('Survey results'!N16="No",1,0)</f>
        <v>0</v>
      </c>
      <c r="V21" s="34"/>
      <c r="W21" s="1">
        <v>16</v>
      </c>
      <c r="X21" t="str">
        <f>VLOOKUP(W21,Table1[[#Headers],[#Data],[ID]:[Gender]],4,TRUE)</f>
        <v>Male</v>
      </c>
      <c r="Z21" s="5"/>
    </row>
    <row r="22" spans="1:26" x14ac:dyDescent="0.25">
      <c r="A22" s="8"/>
      <c r="B22" s="8"/>
      <c r="C22" s="8"/>
      <c r="D22" s="8"/>
      <c r="E22" s="8"/>
      <c r="F22" s="8"/>
      <c r="G22" s="9"/>
      <c r="H22" s="34"/>
      <c r="I22" s="13"/>
      <c r="J22" s="14"/>
      <c r="K22" s="14"/>
      <c r="L22" s="14"/>
      <c r="M22" s="14"/>
      <c r="N22" s="14"/>
      <c r="O22" s="15"/>
      <c r="P22" s="34"/>
      <c r="Q22">
        <f>IF('Survey results'!D18="Male",1,0)</f>
        <v>0</v>
      </c>
      <c r="R22">
        <f>IF('Survey results'!E18="Yes",1,0)</f>
        <v>1</v>
      </c>
      <c r="S22">
        <f>IF('Survey results'!E18="No",2,3)</f>
        <v>3</v>
      </c>
      <c r="T22">
        <f>IF('Survey results'!N17="Yes",1,0)</f>
        <v>0</v>
      </c>
      <c r="U22" s="49">
        <f>IF('Survey results'!N17="No",1,0)</f>
        <v>1</v>
      </c>
      <c r="V22" s="34"/>
      <c r="W22" s="1">
        <v>17</v>
      </c>
      <c r="X22" t="str">
        <f>VLOOKUP(W22,Table1[[#Headers],[#Data],[ID]:[Gender]],4,TRUE)</f>
        <v>Female</v>
      </c>
      <c r="Z22" s="5"/>
    </row>
    <row r="23" spans="1:26" x14ac:dyDescent="0.25">
      <c r="A23" s="8"/>
      <c r="B23" s="8"/>
      <c r="C23" s="8"/>
      <c r="D23" s="8"/>
      <c r="E23" s="8"/>
      <c r="F23" s="8"/>
      <c r="G23" s="9"/>
      <c r="H23" s="34"/>
      <c r="I23" s="13"/>
      <c r="J23" s="14"/>
      <c r="K23" s="14"/>
      <c r="L23" s="14"/>
      <c r="M23" s="14"/>
      <c r="N23" s="14"/>
      <c r="O23" s="15"/>
      <c r="P23" s="34"/>
      <c r="Q23">
        <f>IF('Survey results'!D19="Male",1,0)</f>
        <v>1</v>
      </c>
      <c r="R23">
        <f>IF('Survey results'!E19="Yes",1,0)</f>
        <v>1</v>
      </c>
      <c r="S23">
        <f>IF('Survey results'!E19="No",2,3)</f>
        <v>3</v>
      </c>
      <c r="T23">
        <f>IF('Survey results'!N18="Yes",1,0)</f>
        <v>1</v>
      </c>
      <c r="U23" s="49">
        <f>IF('Survey results'!N18="No",1,0)</f>
        <v>0</v>
      </c>
      <c r="V23" s="34"/>
      <c r="W23" s="1">
        <v>18</v>
      </c>
      <c r="X23" t="str">
        <f>VLOOKUP(W23,Table1[[#Headers],[#Data],[ID]:[Gender]],4,TRUE)</f>
        <v>Male</v>
      </c>
      <c r="Z23" s="5"/>
    </row>
    <row r="24" spans="1:26" ht="15.75" thickBot="1" x14ac:dyDescent="0.3">
      <c r="A24" s="10"/>
      <c r="B24" s="10"/>
      <c r="C24" s="10"/>
      <c r="D24" s="10"/>
      <c r="E24" s="10"/>
      <c r="F24" s="10"/>
      <c r="G24" s="11"/>
      <c r="H24" s="34"/>
      <c r="I24" s="16"/>
      <c r="J24" s="17"/>
      <c r="K24" s="17"/>
      <c r="L24" s="17"/>
      <c r="M24" s="17"/>
      <c r="N24" s="17"/>
      <c r="O24" s="18"/>
      <c r="P24" s="34"/>
      <c r="Q24">
        <f>IF('Survey results'!D20="Male",1,0)</f>
        <v>1</v>
      </c>
      <c r="R24">
        <f>IF('Survey results'!E20="Yes",1,0)</f>
        <v>1</v>
      </c>
      <c r="S24">
        <f>IF('Survey results'!E20="No",2,3)</f>
        <v>3</v>
      </c>
      <c r="T24">
        <f>IF('Survey results'!N19="Yes",1,0)</f>
        <v>1</v>
      </c>
      <c r="U24" s="49">
        <f>IF('Survey results'!N19="No",1,0)</f>
        <v>0</v>
      </c>
      <c r="V24" s="34"/>
      <c r="W24" s="1">
        <v>19</v>
      </c>
      <c r="X24" t="str">
        <f>VLOOKUP(W24,Table1[[#Headers],[#Data],[ID]:[Gender]],4,TRUE)</f>
        <v>Male</v>
      </c>
      <c r="Z24" s="5"/>
    </row>
    <row r="25" spans="1:26" ht="15.75" thickTop="1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>
        <f>IF('Survey results'!D21="Male",1,0)</f>
        <v>0</v>
      </c>
      <c r="R25" s="34">
        <f>IF('Survey results'!E21="Yes",1,0)</f>
        <v>1</v>
      </c>
      <c r="S25" s="45">
        <f>IF('Survey results'!E21="No",2,3)</f>
        <v>3</v>
      </c>
      <c r="T25">
        <f>IF('Survey results'!N20="Yes",1,0)</f>
        <v>0</v>
      </c>
      <c r="U25" s="49">
        <f>IF('Survey results'!N20="No",1,0)</f>
        <v>1</v>
      </c>
      <c r="V25" s="34"/>
      <c r="W25" s="1">
        <v>20</v>
      </c>
      <c r="X25" t="str">
        <f>VLOOKUP(W25,Table1[[#Headers],[#Data],[ID]:[Gender]],4,TRUE)</f>
        <v>Female</v>
      </c>
      <c r="Z25" s="5"/>
    </row>
    <row r="26" spans="1:26" ht="18.75" x14ac:dyDescent="0.3">
      <c r="A26" s="8"/>
      <c r="B26" s="85" t="s">
        <v>78</v>
      </c>
      <c r="C26" s="85"/>
      <c r="D26" s="85"/>
      <c r="E26" s="85"/>
      <c r="F26" s="85"/>
      <c r="G26" s="8"/>
      <c r="H26" s="34"/>
      <c r="I26" s="8"/>
      <c r="J26" s="85" t="s">
        <v>79</v>
      </c>
      <c r="K26" s="85"/>
      <c r="L26" s="85"/>
      <c r="M26" s="85"/>
      <c r="N26" s="85"/>
      <c r="O26" s="8"/>
      <c r="P26" s="34"/>
      <c r="Q26">
        <f>IF('Survey results'!D22="Male",1,0)</f>
        <v>1</v>
      </c>
      <c r="R26">
        <f>IF('Survey results'!E22="Yes",1,0)</f>
        <v>1</v>
      </c>
      <c r="S26">
        <f>IF('Survey results'!E22="No",2,3)</f>
        <v>3</v>
      </c>
      <c r="T26">
        <f>IF('Survey results'!N21="Yes",1,0)</f>
        <v>1</v>
      </c>
      <c r="U26" s="49">
        <f>IF('Survey results'!N21="No",1,0)</f>
        <v>0</v>
      </c>
      <c r="V26" s="34"/>
      <c r="W26" s="1">
        <v>21</v>
      </c>
      <c r="X26" t="str">
        <f>VLOOKUP(W26,Table1[[#Headers],[#Data],[ID]:[Gender]],4,TRUE)</f>
        <v>Male</v>
      </c>
      <c r="Z26" s="5"/>
    </row>
    <row r="27" spans="1:26" ht="12" customHeight="1" x14ac:dyDescent="0.25">
      <c r="A27" s="8"/>
      <c r="B27" s="8"/>
      <c r="C27" s="8"/>
      <c r="D27" s="8"/>
      <c r="E27" s="8"/>
      <c r="F27" s="8"/>
      <c r="G27" s="8"/>
      <c r="H27" s="34"/>
      <c r="I27" s="8"/>
      <c r="J27" s="8"/>
      <c r="K27" s="8"/>
      <c r="L27" s="8"/>
      <c r="M27" s="8"/>
      <c r="N27" s="8"/>
      <c r="O27" s="8"/>
      <c r="P27" s="34"/>
      <c r="T27">
        <f>IF('Survey results'!N22="Yes",1,0)</f>
        <v>0</v>
      </c>
      <c r="U27" s="49">
        <f>IF('Survey results'!N22="No",1,0)</f>
        <v>1</v>
      </c>
      <c r="V27" s="34"/>
      <c r="W27" s="1">
        <v>22</v>
      </c>
      <c r="X27" t="str">
        <f>VLOOKUP(W27,Table1[[#Headers],[#Data],[ID]:[Gender]],4,TRUE)</f>
        <v>Male</v>
      </c>
      <c r="Z27" s="5"/>
    </row>
    <row r="28" spans="1:26" x14ac:dyDescent="0.25">
      <c r="A28" s="8"/>
      <c r="B28" s="51" t="s">
        <v>80</v>
      </c>
      <c r="C28" s="8"/>
      <c r="D28" s="8"/>
      <c r="E28" s="44" t="s">
        <v>94</v>
      </c>
      <c r="F28" s="53">
        <f>COUNTIF(Table1[Aware of any green jobs in the aviation industry],"yes")</f>
        <v>16</v>
      </c>
      <c r="G28" s="8"/>
      <c r="H28" s="34"/>
      <c r="I28" s="8"/>
      <c r="J28" s="35" t="s">
        <v>82</v>
      </c>
      <c r="K28" s="37" t="s">
        <v>83</v>
      </c>
      <c r="L28" s="61" t="s">
        <v>95</v>
      </c>
      <c r="M28" s="8"/>
      <c r="N28" s="8"/>
      <c r="O28" s="8"/>
      <c r="P28" s="34"/>
      <c r="Q28">
        <f>IF('Survey results'!D23="Male",1,0)</f>
        <v>1</v>
      </c>
      <c r="R28">
        <f>IF('Survey results'!E23="Yes",1,0)</f>
        <v>0</v>
      </c>
      <c r="S28">
        <f>IF('Survey results'!E23="No",2,3)</f>
        <v>2</v>
      </c>
      <c r="T28">
        <f>IF('Survey results'!N23="Yes",1,0)</f>
        <v>1</v>
      </c>
      <c r="U28" s="49">
        <f>IF('Survey results'!N23="No",1,0)</f>
        <v>0</v>
      </c>
      <c r="V28" s="34"/>
      <c r="W28" s="1">
        <v>23</v>
      </c>
      <c r="X28" t="str">
        <f>VLOOKUP(W28,Table1[[#Headers],[#Data],[ID]:[Gender]],4,TRUE)</f>
        <v>Female</v>
      </c>
      <c r="Z28" s="5"/>
    </row>
    <row r="29" spans="1:26" x14ac:dyDescent="0.25">
      <c r="A29" s="8"/>
      <c r="B29" s="52" t="s">
        <v>81</v>
      </c>
      <c r="C29" s="8"/>
      <c r="D29" s="8"/>
      <c r="E29" s="44" t="s">
        <v>94</v>
      </c>
      <c r="F29" s="38">
        <f>COUNTIF(Table1[Aware of any green jobs in the aviation industry],"No")</f>
        <v>14</v>
      </c>
      <c r="G29" s="8"/>
      <c r="H29" s="34"/>
      <c r="I29" s="8"/>
      <c r="J29" s="36" t="s">
        <v>3</v>
      </c>
      <c r="K29" s="37">
        <v>13</v>
      </c>
      <c r="L29" s="61"/>
      <c r="M29" s="8"/>
      <c r="N29" s="8"/>
      <c r="O29" s="8"/>
      <c r="P29" s="34"/>
      <c r="Q29">
        <f>IF('Survey results'!D24="Male",1,0)</f>
        <v>0</v>
      </c>
      <c r="R29">
        <f>IF('Survey results'!E24="Yes",1,0)</f>
        <v>1</v>
      </c>
      <c r="S29">
        <f>IF('Survey results'!E24="No",2,3)</f>
        <v>3</v>
      </c>
      <c r="T29">
        <f>IF('Survey results'!N24="Yes",1,0)</f>
        <v>0</v>
      </c>
      <c r="U29" s="49">
        <f>IF('Survey results'!N24="No",1,0)</f>
        <v>1</v>
      </c>
      <c r="V29" s="34"/>
      <c r="W29" s="1">
        <v>24</v>
      </c>
      <c r="X29" t="str">
        <f>VLOOKUP(W29,Table1[[#Headers],[#Data],[ID]:[Gender]],4,TRUE)</f>
        <v>Male</v>
      </c>
      <c r="Z29" s="5"/>
    </row>
    <row r="30" spans="1:26" x14ac:dyDescent="0.25">
      <c r="A30" s="8"/>
      <c r="B30" s="8"/>
      <c r="C30" s="8"/>
      <c r="D30" s="8"/>
      <c r="E30" s="8"/>
      <c r="F30" s="8"/>
      <c r="G30" s="8"/>
      <c r="H30" s="34"/>
      <c r="I30" s="8"/>
      <c r="J30" s="36" t="s">
        <v>4</v>
      </c>
      <c r="K30" s="37">
        <v>17</v>
      </c>
      <c r="L30" s="61"/>
      <c r="M30" s="8"/>
      <c r="N30" s="8"/>
      <c r="O30" s="8"/>
      <c r="P30" s="34"/>
      <c r="Q30">
        <f>IF('Survey results'!D25="Male",1,0)</f>
        <v>1</v>
      </c>
      <c r="R30">
        <f>IF('Survey results'!E25="Yes",1,0)</f>
        <v>1</v>
      </c>
      <c r="S30">
        <f>IF('Survey results'!E25="No",2,3)</f>
        <v>3</v>
      </c>
      <c r="T30">
        <f>IF('Survey results'!N25="Yes",1,0)</f>
        <v>1</v>
      </c>
      <c r="U30" s="49">
        <f>IF('Survey results'!N25="No",1,0)</f>
        <v>0</v>
      </c>
      <c r="V30" s="34"/>
      <c r="W30" s="1">
        <v>25</v>
      </c>
      <c r="X30" t="str">
        <f>VLOOKUP(W30,Table1[[#Headers],[#Data],[ID]:[Gender]],4,TRUE)</f>
        <v>Female</v>
      </c>
      <c r="Z30" s="5"/>
    </row>
    <row r="31" spans="1:26" x14ac:dyDescent="0.25">
      <c r="A31" s="8"/>
      <c r="B31" s="8"/>
      <c r="C31" s="8"/>
      <c r="D31" s="8"/>
      <c r="E31" s="8"/>
      <c r="F31" s="8"/>
      <c r="G31" s="8"/>
      <c r="H31" s="34"/>
      <c r="I31" s="8"/>
      <c r="J31" s="8"/>
      <c r="K31" s="8"/>
      <c r="L31" s="8"/>
      <c r="M31" s="8"/>
      <c r="N31" s="8"/>
      <c r="O31" s="8"/>
      <c r="P31" s="34"/>
      <c r="Q31">
        <f>IF('Survey results'!D26="Male",1,0)</f>
        <v>0</v>
      </c>
      <c r="R31">
        <f>IF('Survey results'!E26="Yes",1,0)</f>
        <v>0</v>
      </c>
      <c r="S31">
        <f>IF('Survey results'!E26="No",2,3)</f>
        <v>2</v>
      </c>
      <c r="T31">
        <f>IF('Survey results'!N26="Yes",1,0)</f>
        <v>0</v>
      </c>
      <c r="U31" s="49">
        <f>IF('Survey results'!N26="No",1,0)</f>
        <v>1</v>
      </c>
      <c r="V31" s="34"/>
      <c r="W31" s="1">
        <v>26</v>
      </c>
      <c r="X31" t="str">
        <f>VLOOKUP(W31,Table1[[#Headers],[#Data],[ID]:[Gender]],4,TRUE)</f>
        <v>Male</v>
      </c>
      <c r="Z31" s="5"/>
    </row>
    <row r="32" spans="1:26" x14ac:dyDescent="0.25">
      <c r="A32" s="8"/>
      <c r="B32" s="8"/>
      <c r="C32" s="8"/>
      <c r="D32" s="8"/>
      <c r="E32" s="8"/>
      <c r="F32" s="8"/>
      <c r="G32" s="8"/>
      <c r="H32" s="34"/>
      <c r="I32" s="8"/>
      <c r="J32" s="8"/>
      <c r="K32" s="8"/>
      <c r="L32" s="8"/>
      <c r="M32" s="8"/>
      <c r="N32" s="8"/>
      <c r="O32" s="8"/>
      <c r="P32" s="34"/>
      <c r="Q32">
        <f>IF('Survey results'!D27="Male",1,0)</f>
        <v>1</v>
      </c>
      <c r="R32">
        <f>IF('Survey results'!E27="Yes",1,0)</f>
        <v>1</v>
      </c>
      <c r="S32">
        <f>IF('Survey results'!E27="No",2,3)</f>
        <v>3</v>
      </c>
      <c r="T32">
        <f>IF('Survey results'!N27="Yes",1,0)</f>
        <v>1</v>
      </c>
      <c r="U32" s="49">
        <f>IF('Survey results'!N27="No",1,0)</f>
        <v>0</v>
      </c>
      <c r="V32" s="34"/>
      <c r="W32" s="1">
        <v>27</v>
      </c>
      <c r="X32" t="str">
        <f>VLOOKUP(W32,Table1[[#Headers],[#Data],[ID]:[Gender]],4,TRUE)</f>
        <v>Female</v>
      </c>
      <c r="Z32" s="5"/>
    </row>
    <row r="33" spans="1:26" x14ac:dyDescent="0.25">
      <c r="A33" s="8"/>
      <c r="B33" s="8"/>
      <c r="C33" s="8"/>
      <c r="D33" s="8"/>
      <c r="E33" s="8"/>
      <c r="F33" s="8"/>
      <c r="G33" s="8"/>
      <c r="H33" s="34"/>
      <c r="I33" s="8"/>
      <c r="J33" s="8"/>
      <c r="K33" s="8"/>
      <c r="L33" s="8"/>
      <c r="M33" s="8"/>
      <c r="N33" s="8"/>
      <c r="O33" s="8"/>
      <c r="P33" s="34"/>
      <c r="Q33">
        <f>IF('Survey results'!D28="Male",1,0)</f>
        <v>0</v>
      </c>
      <c r="R33">
        <f>IF('Survey results'!E28="Yes",1,0)</f>
        <v>1</v>
      </c>
      <c r="S33">
        <f>IF('Survey results'!E28="No",2,3)</f>
        <v>3</v>
      </c>
      <c r="T33">
        <f>IF('Survey results'!N28="Yes",1,0)</f>
        <v>1</v>
      </c>
      <c r="U33" s="49">
        <f>IF('Survey results'!N28="No",1,0)</f>
        <v>0</v>
      </c>
      <c r="V33" s="34"/>
      <c r="W33" s="1">
        <v>28</v>
      </c>
      <c r="X33" t="str">
        <f>VLOOKUP(W33,Table1[[#Headers],[#Data],[ID]:[Gender]],4,TRUE)</f>
        <v>Male</v>
      </c>
      <c r="Z33" s="5"/>
    </row>
    <row r="34" spans="1:26" x14ac:dyDescent="0.25">
      <c r="A34" s="8"/>
      <c r="B34" s="8"/>
      <c r="C34" s="8"/>
      <c r="D34" s="8"/>
      <c r="E34" s="8"/>
      <c r="F34" s="8"/>
      <c r="G34" s="8"/>
      <c r="H34" s="34"/>
      <c r="I34" s="8"/>
      <c r="J34" s="8"/>
      <c r="K34" s="8"/>
      <c r="L34" s="8"/>
      <c r="M34" s="8"/>
      <c r="N34" s="8"/>
      <c r="O34" s="8"/>
      <c r="P34" s="34"/>
      <c r="Q34">
        <f>IF('Survey results'!D29="Male",1,0)</f>
        <v>1</v>
      </c>
      <c r="R34">
        <f>IF('Survey results'!E29="Yes",1,0)</f>
        <v>1</v>
      </c>
      <c r="S34">
        <f>IF('Survey results'!E29="No",2,3)</f>
        <v>3</v>
      </c>
      <c r="T34">
        <f>IF('Survey results'!N29="Yes",1,0)</f>
        <v>1</v>
      </c>
      <c r="U34" s="49">
        <f>IF('Survey results'!N29="No",1,0)</f>
        <v>0</v>
      </c>
      <c r="V34" s="34"/>
      <c r="W34" s="1">
        <v>29</v>
      </c>
      <c r="X34" t="str">
        <f>VLOOKUP(W34,Table1[[#Headers],[#Data],[ID]:[Gender]],4,TRUE)</f>
        <v>Male</v>
      </c>
      <c r="Z34" s="5"/>
    </row>
    <row r="35" spans="1:26" x14ac:dyDescent="0.25">
      <c r="A35" s="8"/>
      <c r="B35" s="8"/>
      <c r="C35" s="8"/>
      <c r="D35" s="8"/>
      <c r="E35" s="8"/>
      <c r="F35" s="8"/>
      <c r="G35" s="8"/>
      <c r="H35" s="34"/>
      <c r="I35" s="8"/>
      <c r="J35" s="8"/>
      <c r="K35" s="8"/>
      <c r="L35" s="8"/>
      <c r="M35" s="8"/>
      <c r="N35" s="8"/>
      <c r="O35" s="8"/>
      <c r="P35" s="34"/>
      <c r="Q35">
        <f>IF('Survey results'!D30="Male",1,0)</f>
        <v>1</v>
      </c>
      <c r="R35">
        <f>IF('Survey results'!E30="Yes",1,0)</f>
        <v>1</v>
      </c>
      <c r="S35">
        <f>IF('Survey results'!E30="No",2,3)</f>
        <v>3</v>
      </c>
      <c r="T35">
        <f>IF('Survey results'!N30="Yes",1,0)</f>
        <v>1</v>
      </c>
      <c r="U35" s="49">
        <f>IF('Survey results'!N30="No",1,0)</f>
        <v>0</v>
      </c>
      <c r="V35" s="34"/>
      <c r="W35" s="1">
        <v>30</v>
      </c>
      <c r="X35" t="str">
        <f>VLOOKUP(W35,Table1[[#Headers],[#Data],[ID]:[Gender]],4,TRUE)</f>
        <v>Female</v>
      </c>
      <c r="Z35" s="5"/>
    </row>
    <row r="36" spans="1:26" ht="18.75" x14ac:dyDescent="0.3">
      <c r="A36" s="8"/>
      <c r="B36" s="8"/>
      <c r="C36" s="8"/>
      <c r="D36" s="8"/>
      <c r="E36" s="8"/>
      <c r="F36" s="8"/>
      <c r="G36" s="8"/>
      <c r="H36" s="34"/>
      <c r="I36" s="8"/>
      <c r="J36" s="8"/>
      <c r="K36" s="8"/>
      <c r="L36" s="8"/>
      <c r="M36" s="8"/>
      <c r="N36" s="8"/>
      <c r="O36" s="8"/>
      <c r="P36" s="34"/>
      <c r="Q36">
        <f>IF('Survey results'!D31="Male",1,0)</f>
        <v>0</v>
      </c>
      <c r="R36">
        <f>IF('Survey results'!E31="Yes",1,0)</f>
        <v>1</v>
      </c>
      <c r="S36">
        <f>IF('Survey results'!E31="No",2,3)</f>
        <v>3</v>
      </c>
      <c r="T36">
        <f>IF('Survey results'!N31="Yes",1,0)</f>
        <v>1</v>
      </c>
      <c r="U36" s="49">
        <f>IF('Survey results'!N31="No",1,0)</f>
        <v>0</v>
      </c>
      <c r="V36" s="34"/>
      <c r="W36" s="70" t="s">
        <v>89</v>
      </c>
      <c r="X36" s="71"/>
      <c r="Z36" s="5"/>
    </row>
    <row r="37" spans="1:26" x14ac:dyDescent="0.25">
      <c r="A37" s="8"/>
      <c r="B37" s="8"/>
      <c r="C37" s="8"/>
      <c r="D37" s="8"/>
      <c r="E37" s="8"/>
      <c r="F37" s="8"/>
      <c r="G37" s="8"/>
      <c r="H37" s="34"/>
      <c r="I37" s="8"/>
      <c r="J37" s="8"/>
      <c r="K37" s="8"/>
      <c r="L37" s="8"/>
      <c r="M37" s="8"/>
      <c r="N37" s="8"/>
      <c r="O37" s="8"/>
      <c r="P37" s="34"/>
      <c r="T37" s="50" t="s">
        <v>99</v>
      </c>
      <c r="U37" s="50" t="s">
        <v>100</v>
      </c>
      <c r="V37" s="34"/>
      <c r="W37" s="39" t="s">
        <v>70</v>
      </c>
      <c r="X37" s="40" t="s">
        <v>72</v>
      </c>
      <c r="Z37" s="5"/>
    </row>
    <row r="38" spans="1:26" x14ac:dyDescent="0.25">
      <c r="A38" s="8"/>
      <c r="B38" s="8"/>
      <c r="C38" s="8"/>
      <c r="D38" s="8"/>
      <c r="E38" s="8"/>
      <c r="F38" s="8"/>
      <c r="G38" s="8"/>
      <c r="H38" s="34"/>
      <c r="I38" s="8"/>
      <c r="J38" s="8"/>
      <c r="K38" s="8"/>
      <c r="L38" s="8"/>
      <c r="M38" s="8"/>
      <c r="N38" s="8"/>
      <c r="O38" s="8"/>
      <c r="P38" s="34"/>
      <c r="T38">
        <f>AVERAGE(T7:T36)</f>
        <v>0.6</v>
      </c>
      <c r="U38">
        <f>AVERAGE(U7:U36)</f>
        <v>0.4</v>
      </c>
      <c r="V38" s="34"/>
      <c r="W38" s="41" t="s">
        <v>10</v>
      </c>
      <c r="X38" s="40">
        <v>12</v>
      </c>
      <c r="Z38" s="5"/>
    </row>
    <row r="39" spans="1:26" x14ac:dyDescent="0.25">
      <c r="A39" s="8"/>
      <c r="B39" s="8"/>
      <c r="C39" s="8"/>
      <c r="D39" s="8"/>
      <c r="E39" s="8"/>
      <c r="F39" s="8"/>
      <c r="G39" s="8"/>
      <c r="H39" s="34"/>
      <c r="I39" s="8"/>
      <c r="J39" s="8"/>
      <c r="K39" s="8"/>
      <c r="L39" s="8"/>
      <c r="M39" s="8"/>
      <c r="N39" s="8"/>
      <c r="O39" s="8"/>
      <c r="P39" s="34"/>
      <c r="T39" s="86">
        <f>SUM(T38:U38)*30</f>
        <v>30</v>
      </c>
      <c r="U39" s="87"/>
      <c r="V39" s="34"/>
      <c r="W39" s="41" t="s">
        <v>2</v>
      </c>
      <c r="X39" s="40">
        <v>18</v>
      </c>
      <c r="Z39" s="5"/>
    </row>
    <row r="40" spans="1:26" x14ac:dyDescent="0.25">
      <c r="A40" s="8"/>
      <c r="B40" s="8"/>
      <c r="C40" s="8"/>
      <c r="D40" s="8"/>
      <c r="E40" s="8"/>
      <c r="F40" s="8"/>
      <c r="G40" s="8"/>
      <c r="H40" s="34"/>
      <c r="I40" s="8"/>
      <c r="J40" s="8"/>
      <c r="K40" s="8"/>
      <c r="L40" s="8"/>
      <c r="M40" s="8"/>
      <c r="N40" s="8"/>
      <c r="O40" s="8"/>
      <c r="P40" s="34"/>
      <c r="T40" s="88"/>
      <c r="U40" s="89"/>
      <c r="V40" s="34"/>
      <c r="W40" s="42" t="s">
        <v>71</v>
      </c>
      <c r="X40" s="43">
        <v>30</v>
      </c>
      <c r="Z40" s="5"/>
    </row>
    <row r="41" spans="1:26" x14ac:dyDescent="0.25">
      <c r="A41" s="8"/>
      <c r="B41" s="8"/>
      <c r="C41" s="8"/>
      <c r="D41" s="8"/>
      <c r="E41" s="8"/>
      <c r="F41" s="8"/>
      <c r="G41" s="8"/>
      <c r="H41" s="34"/>
      <c r="I41" s="8"/>
      <c r="J41" s="8"/>
      <c r="K41" s="8"/>
      <c r="L41" s="8"/>
      <c r="M41" s="8"/>
      <c r="N41" s="8"/>
      <c r="O41" s="8"/>
      <c r="P41" s="34"/>
      <c r="T41" s="34"/>
      <c r="U41" s="34"/>
      <c r="V41" s="34"/>
      <c r="W41" s="34"/>
      <c r="X41" s="34"/>
      <c r="Y41" s="34"/>
      <c r="Z41" s="34"/>
    </row>
    <row r="42" spans="1:26" ht="18.75" x14ac:dyDescent="0.3">
      <c r="A42" s="8"/>
      <c r="B42" s="8"/>
      <c r="C42" s="8"/>
      <c r="D42" s="8"/>
      <c r="E42" s="8"/>
      <c r="F42" s="8"/>
      <c r="G42" s="8"/>
      <c r="H42" s="34"/>
      <c r="I42" s="8"/>
      <c r="J42" s="8"/>
      <c r="K42" s="8"/>
      <c r="L42" s="8"/>
      <c r="M42" s="8"/>
      <c r="N42" s="8"/>
      <c r="O42" s="8"/>
      <c r="P42" s="34"/>
      <c r="T42" s="91" t="s">
        <v>102</v>
      </c>
      <c r="U42" s="92"/>
      <c r="V42" s="34"/>
      <c r="W42" s="93" t="s">
        <v>107</v>
      </c>
      <c r="X42" s="92"/>
      <c r="Y42" s="92"/>
      <c r="Z42" s="94"/>
    </row>
    <row r="43" spans="1:26" x14ac:dyDescent="0.25">
      <c r="A43" s="8"/>
      <c r="B43" s="8"/>
      <c r="C43" s="8"/>
      <c r="D43" s="8"/>
      <c r="E43" s="8"/>
      <c r="F43" s="8"/>
      <c r="G43" s="8"/>
      <c r="H43" s="34"/>
      <c r="I43" s="8"/>
      <c r="J43" s="8"/>
      <c r="K43" s="8"/>
      <c r="L43" s="8"/>
      <c r="M43" s="8"/>
      <c r="N43" s="8"/>
      <c r="O43" s="8"/>
      <c r="P43" s="34"/>
      <c r="T43" s="55">
        <v>1</v>
      </c>
      <c r="U43" t="str">
        <f>VLOOKUP(T43,Table1[[#Headers],[#Data]],17,TRUE)</f>
        <v>Remaining level</v>
      </c>
      <c r="V43" s="34"/>
      <c r="W43" s="63" t="s">
        <v>103</v>
      </c>
      <c r="X43" s="63"/>
      <c r="Y43">
        <f>COUNTIF(U43:U72,U43)</f>
        <v>8</v>
      </c>
      <c r="Z43" s="5"/>
    </row>
    <row r="44" spans="1:26" x14ac:dyDescent="0.25">
      <c r="A44" s="8"/>
      <c r="B44" s="8"/>
      <c r="C44" s="8"/>
      <c r="D44" s="8"/>
      <c r="E44" s="8"/>
      <c r="F44" s="8"/>
      <c r="G44" s="8"/>
      <c r="H44" s="34"/>
      <c r="I44" s="8"/>
      <c r="J44" s="8"/>
      <c r="K44" s="8"/>
      <c r="L44" s="8"/>
      <c r="M44" s="8"/>
      <c r="N44" s="8"/>
      <c r="O44" s="8"/>
      <c r="P44" s="34"/>
      <c r="T44" s="55">
        <v>2</v>
      </c>
      <c r="U44" t="str">
        <f>VLOOKUP(T44,Table1[[#Headers],[#Data]],17,TRUE)</f>
        <v>Remaining level</v>
      </c>
      <c r="V44" s="34"/>
      <c r="W44" s="63" t="s">
        <v>104</v>
      </c>
      <c r="X44" s="63"/>
      <c r="Y44">
        <f>COUNTIF(U43:U72,U45)</f>
        <v>10</v>
      </c>
      <c r="Z44" s="5"/>
    </row>
    <row r="45" spans="1:26" x14ac:dyDescent="0.25">
      <c r="A45" s="8"/>
      <c r="B45" s="8"/>
      <c r="C45" s="8"/>
      <c r="D45" s="8"/>
      <c r="E45" s="8"/>
      <c r="F45" s="8"/>
      <c r="G45" s="8"/>
      <c r="H45" s="34"/>
      <c r="I45" s="8"/>
      <c r="J45" s="8"/>
      <c r="K45" s="8"/>
      <c r="L45" s="8"/>
      <c r="M45" s="8"/>
      <c r="N45" s="8"/>
      <c r="O45" s="8"/>
      <c r="P45" s="34"/>
      <c r="T45" s="55">
        <v>3</v>
      </c>
      <c r="U45" t="str">
        <f>VLOOKUP(T45,Table1[[#Headers],[#Data]],17,TRUE)</f>
        <v>Steadily growing</v>
      </c>
      <c r="V45" s="34"/>
      <c r="W45" s="63" t="s">
        <v>105</v>
      </c>
      <c r="X45" s="63"/>
      <c r="Y45">
        <f>COUNTIF(U43:U72,U48)</f>
        <v>11</v>
      </c>
      <c r="Z45" s="5"/>
    </row>
    <row r="46" spans="1:26" x14ac:dyDescent="0.25">
      <c r="A46" s="8"/>
      <c r="B46" s="8"/>
      <c r="C46" s="8"/>
      <c r="D46" s="8"/>
      <c r="E46" s="8"/>
      <c r="F46" s="8"/>
      <c r="G46" s="8"/>
      <c r="H46" s="34"/>
      <c r="I46" s="8"/>
      <c r="J46" s="8"/>
      <c r="K46" s="8"/>
      <c r="L46" s="8"/>
      <c r="M46" s="8"/>
      <c r="N46" s="8"/>
      <c r="O46" s="8"/>
      <c r="P46" s="34"/>
      <c r="T46" s="55">
        <v>4</v>
      </c>
      <c r="U46" t="str">
        <f>VLOOKUP(T46,Table1[[#Headers],[#Data]],17,TRUE)</f>
        <v>Steadily growing</v>
      </c>
      <c r="V46" s="34"/>
      <c r="W46" s="95" t="s">
        <v>106</v>
      </c>
      <c r="X46" s="96"/>
      <c r="Y46">
        <f>COUNTIF(U43:U72,U54)</f>
        <v>1</v>
      </c>
      <c r="Z46" s="5"/>
    </row>
    <row r="47" spans="1:26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45"/>
      <c r="T47" s="55">
        <v>5</v>
      </c>
      <c r="U47" t="str">
        <f>VLOOKUP(T47,Table1[[#Headers],[#Data]],17,TRUE)</f>
        <v>Remaining level</v>
      </c>
      <c r="V47" s="34"/>
      <c r="W47" s="74" t="s">
        <v>68</v>
      </c>
      <c r="X47" s="74"/>
      <c r="Y47" s="38">
        <f>SUM(Y43:Y46)</f>
        <v>30</v>
      </c>
      <c r="Z47" s="5"/>
    </row>
    <row r="48" spans="1:26" ht="18.75" x14ac:dyDescent="0.3">
      <c r="A48" s="8"/>
      <c r="B48" s="85" t="s">
        <v>84</v>
      </c>
      <c r="C48" s="85"/>
      <c r="D48" s="85"/>
      <c r="E48" s="85"/>
      <c r="F48" s="85"/>
      <c r="G48" s="8"/>
      <c r="H48" s="34"/>
      <c r="I48" s="8"/>
      <c r="J48" s="85" t="s">
        <v>86</v>
      </c>
      <c r="K48" s="85"/>
      <c r="L48" s="85"/>
      <c r="M48" s="85"/>
      <c r="N48" s="85"/>
      <c r="O48" s="8"/>
      <c r="P48" s="34"/>
      <c r="T48" s="55">
        <v>6</v>
      </c>
      <c r="U48" t="str">
        <f>VLOOKUP(T48,Table1[[#Headers],[#Data]],17,TRUE)</f>
        <v>Rapid expansion</v>
      </c>
      <c r="V48" s="34"/>
      <c r="Z48" s="5"/>
    </row>
    <row r="49" spans="1:26" x14ac:dyDescent="0.25">
      <c r="A49" s="8"/>
      <c r="B49" s="12" t="s">
        <v>4</v>
      </c>
      <c r="C49" s="8"/>
      <c r="D49" s="8"/>
      <c r="E49" s="44" t="s">
        <v>94</v>
      </c>
      <c r="F49" s="12">
        <f>COUNTIF(Table1[Aware of the increasing green job availibility in the aviation industry],"Yes")</f>
        <v>17</v>
      </c>
      <c r="G49" s="8"/>
      <c r="H49" s="34"/>
      <c r="I49" s="8"/>
      <c r="J49" s="8" t="s">
        <v>85</v>
      </c>
      <c r="K49" s="8" t="s">
        <v>83</v>
      </c>
      <c r="L49" s="61" t="s">
        <v>95</v>
      </c>
      <c r="M49" s="8"/>
      <c r="N49" s="8"/>
      <c r="O49" s="8"/>
      <c r="P49" s="34"/>
      <c r="T49" s="55">
        <v>7</v>
      </c>
      <c r="U49" t="str">
        <f>VLOOKUP(T49,Table1[[#Headers],[#Data]],17,TRUE)</f>
        <v>Rapid expansion</v>
      </c>
      <c r="V49" s="34"/>
      <c r="Z49" s="5"/>
    </row>
    <row r="50" spans="1:26" x14ac:dyDescent="0.25">
      <c r="A50" s="8"/>
      <c r="B50" s="38" t="s">
        <v>3</v>
      </c>
      <c r="C50" s="8"/>
      <c r="D50" s="8"/>
      <c r="E50" s="44" t="s">
        <v>94</v>
      </c>
      <c r="F50" s="38">
        <f>COUNTIF(Table1[Aware of the increasing green job availibility in the aviation industry],"No")</f>
        <v>13</v>
      </c>
      <c r="G50" s="8"/>
      <c r="H50" s="34"/>
      <c r="I50" s="8"/>
      <c r="J50" s="8" t="s">
        <v>3</v>
      </c>
      <c r="K50" s="8">
        <v>5</v>
      </c>
      <c r="L50" s="61"/>
      <c r="M50" s="8"/>
      <c r="N50" s="8"/>
      <c r="O50" s="8"/>
      <c r="P50" s="34"/>
      <c r="T50" s="55">
        <v>8</v>
      </c>
      <c r="U50" t="str">
        <f>VLOOKUP(T50,Table1[[#Headers],[#Data]],17,TRUE)</f>
        <v>Steadily growing</v>
      </c>
      <c r="V50" s="34"/>
      <c r="Z50" s="5"/>
    </row>
    <row r="51" spans="1:26" x14ac:dyDescent="0.25">
      <c r="A51" s="8"/>
      <c r="B51" s="8"/>
      <c r="C51" s="8"/>
      <c r="D51" s="8"/>
      <c r="E51" s="8"/>
      <c r="F51" s="8"/>
      <c r="G51" s="8"/>
      <c r="H51" s="34"/>
      <c r="I51" s="8"/>
      <c r="J51" s="8" t="s">
        <v>4</v>
      </c>
      <c r="K51" s="8">
        <v>25</v>
      </c>
      <c r="L51" s="61"/>
      <c r="M51" s="8"/>
      <c r="N51" s="8"/>
      <c r="O51" s="8"/>
      <c r="P51" s="34"/>
      <c r="T51" s="55">
        <v>9</v>
      </c>
      <c r="U51" t="str">
        <f>VLOOKUP(T51,Table1[[#Headers],[#Data]],17,TRUE)</f>
        <v>Remaining level</v>
      </c>
      <c r="V51" s="34"/>
      <c r="Z51" s="5"/>
    </row>
    <row r="52" spans="1:26" x14ac:dyDescent="0.25">
      <c r="A52" s="8"/>
      <c r="B52" s="8"/>
      <c r="C52" s="8"/>
      <c r="D52" s="8"/>
      <c r="E52" s="8"/>
      <c r="F52" s="8"/>
      <c r="G52" s="8"/>
      <c r="H52" s="34"/>
      <c r="I52" s="8"/>
      <c r="J52" s="8"/>
      <c r="K52" s="8"/>
      <c r="L52" s="8"/>
      <c r="M52" s="8"/>
      <c r="N52" s="8"/>
      <c r="O52" s="8"/>
      <c r="P52" s="34"/>
      <c r="T52" s="55">
        <v>10</v>
      </c>
      <c r="U52" t="str">
        <f>VLOOKUP(T52,Table1[[#Headers],[#Data]],17,TRUE)</f>
        <v>Rapid expansion</v>
      </c>
      <c r="V52" s="34"/>
      <c r="Z52" s="5"/>
    </row>
    <row r="53" spans="1:26" x14ac:dyDescent="0.25">
      <c r="A53" s="8"/>
      <c r="B53" s="8"/>
      <c r="C53" s="8"/>
      <c r="D53" s="8"/>
      <c r="E53" s="8"/>
      <c r="F53" s="8"/>
      <c r="G53" s="8"/>
      <c r="H53" s="34"/>
      <c r="I53" s="8"/>
      <c r="J53" s="8"/>
      <c r="K53" s="8"/>
      <c r="L53" s="8"/>
      <c r="M53" s="8"/>
      <c r="N53" s="8"/>
      <c r="O53" s="8"/>
      <c r="P53" s="34"/>
      <c r="T53" s="55">
        <v>11</v>
      </c>
      <c r="U53" t="str">
        <f>VLOOKUP(T53,Table1[[#Headers],[#Data]],17,TRUE)</f>
        <v>Remaining level</v>
      </c>
      <c r="V53" s="34"/>
      <c r="Z53" s="5"/>
    </row>
    <row r="54" spans="1:26" x14ac:dyDescent="0.25">
      <c r="A54" s="8"/>
      <c r="B54" s="8"/>
      <c r="C54" s="8"/>
      <c r="D54" s="8"/>
      <c r="E54" s="8"/>
      <c r="F54" s="8"/>
      <c r="G54" s="8"/>
      <c r="H54" s="34"/>
      <c r="I54" s="8"/>
      <c r="J54" s="8"/>
      <c r="K54" s="8"/>
      <c r="L54" s="8"/>
      <c r="M54" s="8"/>
      <c r="N54" s="8"/>
      <c r="O54" s="8"/>
      <c r="P54" s="34"/>
      <c r="T54" s="55">
        <v>12</v>
      </c>
      <c r="U54" t="str">
        <f>VLOOKUP(T54,Table1[[#Headers],[#Data]],17,TRUE)</f>
        <v>Declinig</v>
      </c>
      <c r="V54" s="34"/>
      <c r="Z54" s="5"/>
    </row>
    <row r="55" spans="1:26" x14ac:dyDescent="0.25">
      <c r="A55" s="8"/>
      <c r="B55" s="8"/>
      <c r="C55" s="8"/>
      <c r="D55" s="8"/>
      <c r="E55" s="8"/>
      <c r="F55" s="8"/>
      <c r="G55" s="8"/>
      <c r="H55" s="34"/>
      <c r="I55" s="8"/>
      <c r="J55" s="8"/>
      <c r="K55" s="8"/>
      <c r="L55" s="8"/>
      <c r="M55" s="8"/>
      <c r="N55" s="8"/>
      <c r="O55" s="8"/>
      <c r="P55" s="34"/>
      <c r="T55" s="55">
        <v>13</v>
      </c>
      <c r="U55" t="str">
        <f>VLOOKUP(T55,Table1[[#Headers],[#Data]],17,TRUE)</f>
        <v>Rapid expansion</v>
      </c>
      <c r="V55" s="34"/>
      <c r="Z55" s="5"/>
    </row>
    <row r="56" spans="1:26" x14ac:dyDescent="0.25">
      <c r="A56" s="8"/>
      <c r="B56" s="8"/>
      <c r="C56" s="8"/>
      <c r="D56" s="8"/>
      <c r="E56" s="8"/>
      <c r="F56" s="8"/>
      <c r="G56" s="8"/>
      <c r="H56" s="34"/>
      <c r="I56" s="8"/>
      <c r="J56" s="8"/>
      <c r="K56" s="8"/>
      <c r="L56" s="8"/>
      <c r="M56" s="8"/>
      <c r="N56" s="8"/>
      <c r="O56" s="8"/>
      <c r="P56" s="34"/>
      <c r="T56" s="55">
        <v>14</v>
      </c>
      <c r="U56" t="str">
        <f>VLOOKUP(T56,Table1[[#Headers],[#Data]],17,TRUE)</f>
        <v>Steadily growing</v>
      </c>
      <c r="V56" s="34"/>
      <c r="Z56" s="5"/>
    </row>
    <row r="57" spans="1:26" x14ac:dyDescent="0.25">
      <c r="A57" s="8"/>
      <c r="B57" s="8"/>
      <c r="C57" s="8"/>
      <c r="D57" s="8"/>
      <c r="E57" s="8"/>
      <c r="F57" s="8"/>
      <c r="G57" s="8"/>
      <c r="H57" s="34"/>
      <c r="I57" s="8"/>
      <c r="J57" s="8"/>
      <c r="K57" s="8"/>
      <c r="L57" s="8"/>
      <c r="M57" s="8"/>
      <c r="N57" s="8"/>
      <c r="O57" s="8"/>
      <c r="P57" s="34"/>
      <c r="T57" s="55">
        <v>15</v>
      </c>
      <c r="U57" t="str">
        <f>VLOOKUP(T57,Table1[[#Headers],[#Data]],17,TRUE)</f>
        <v>Steadily growing</v>
      </c>
      <c r="V57" s="34"/>
      <c r="Z57" s="5"/>
    </row>
    <row r="58" spans="1:26" x14ac:dyDescent="0.25">
      <c r="A58" s="8"/>
      <c r="B58" s="8"/>
      <c r="C58" s="8"/>
      <c r="D58" s="8"/>
      <c r="E58" s="8"/>
      <c r="F58" s="8"/>
      <c r="G58" s="8"/>
      <c r="H58" s="34"/>
      <c r="I58" s="8"/>
      <c r="J58" s="8"/>
      <c r="K58" s="8"/>
      <c r="L58" s="8"/>
      <c r="M58" s="8"/>
      <c r="N58" s="8"/>
      <c r="O58" s="8"/>
      <c r="P58" s="34"/>
      <c r="T58" s="55">
        <v>16</v>
      </c>
      <c r="U58" t="str">
        <f>VLOOKUP(T58,Table1[[#Headers],[#Data]],17,TRUE)</f>
        <v>Remaining level</v>
      </c>
      <c r="V58" s="34"/>
      <c r="Z58" s="5"/>
    </row>
    <row r="59" spans="1:26" x14ac:dyDescent="0.25">
      <c r="A59" s="8"/>
      <c r="B59" s="8"/>
      <c r="C59" s="8"/>
      <c r="D59" s="8"/>
      <c r="E59" s="8"/>
      <c r="F59" s="8"/>
      <c r="G59" s="8"/>
      <c r="H59" s="34"/>
      <c r="I59" s="8"/>
      <c r="J59" s="8"/>
      <c r="K59" s="8"/>
      <c r="L59" s="8"/>
      <c r="M59" s="8"/>
      <c r="N59" s="8"/>
      <c r="O59" s="8"/>
      <c r="P59" s="34"/>
      <c r="T59" s="55">
        <v>17</v>
      </c>
      <c r="U59" t="str">
        <f>VLOOKUP(T59,Table1[[#Headers],[#Data]],17,TRUE)</f>
        <v>Remaining level</v>
      </c>
      <c r="V59" s="34"/>
      <c r="Z59" s="5"/>
    </row>
    <row r="60" spans="1:26" x14ac:dyDescent="0.25">
      <c r="A60" s="8"/>
      <c r="B60" s="8"/>
      <c r="C60" s="8"/>
      <c r="D60" s="8"/>
      <c r="E60" s="8"/>
      <c r="F60" s="8"/>
      <c r="G60" s="8"/>
      <c r="H60" s="34"/>
      <c r="I60" s="8"/>
      <c r="J60" s="8"/>
      <c r="K60" s="8"/>
      <c r="L60" s="8"/>
      <c r="M60" s="8"/>
      <c r="N60" s="8"/>
      <c r="O60" s="8"/>
      <c r="P60" s="34"/>
      <c r="T60" s="55">
        <v>18</v>
      </c>
      <c r="U60" t="str">
        <f>VLOOKUP(T60,Table1[[#Headers],[#Data]],17,TRUE)</f>
        <v>Steadily growing</v>
      </c>
      <c r="V60" s="34"/>
      <c r="Z60" s="5"/>
    </row>
    <row r="61" spans="1:26" x14ac:dyDescent="0.25">
      <c r="A61" s="8"/>
      <c r="B61" s="8"/>
      <c r="C61" s="8"/>
      <c r="D61" s="8"/>
      <c r="E61" s="8"/>
      <c r="F61" s="8"/>
      <c r="G61" s="8"/>
      <c r="H61" s="34"/>
      <c r="I61" s="8"/>
      <c r="J61" s="8"/>
      <c r="K61" s="8"/>
      <c r="L61" s="8"/>
      <c r="M61" s="8"/>
      <c r="N61" s="8"/>
      <c r="O61" s="8"/>
      <c r="P61" s="34"/>
      <c r="T61" s="55">
        <v>19</v>
      </c>
      <c r="U61" t="str">
        <f>VLOOKUP(T61,Table1[[#Headers],[#Data]],17,TRUE)</f>
        <v>Steadily growing</v>
      </c>
      <c r="V61" s="34"/>
      <c r="Z61" s="5"/>
    </row>
    <row r="62" spans="1:26" x14ac:dyDescent="0.25">
      <c r="A62" s="8"/>
      <c r="B62" s="8"/>
      <c r="C62" s="8"/>
      <c r="D62" s="8"/>
      <c r="E62" s="8"/>
      <c r="F62" s="8"/>
      <c r="G62" s="8"/>
      <c r="H62" s="34"/>
      <c r="I62" s="8"/>
      <c r="J62" s="8"/>
      <c r="K62" s="8"/>
      <c r="L62" s="8"/>
      <c r="M62" s="8"/>
      <c r="N62" s="8"/>
      <c r="O62" s="8"/>
      <c r="P62" s="34"/>
      <c r="T62" s="55">
        <v>20</v>
      </c>
      <c r="U62" t="str">
        <f>VLOOKUP(T62,Table1[[#Headers],[#Data]],17,TRUE)</f>
        <v>Steadily growing</v>
      </c>
      <c r="V62" s="34"/>
      <c r="Z62" s="5"/>
    </row>
    <row r="63" spans="1:26" x14ac:dyDescent="0.25">
      <c r="A63" s="8"/>
      <c r="B63" s="8"/>
      <c r="C63" s="8"/>
      <c r="D63" s="8"/>
      <c r="E63" s="8"/>
      <c r="F63" s="8"/>
      <c r="G63" s="8"/>
      <c r="H63" s="34"/>
      <c r="I63" s="8"/>
      <c r="J63" s="8"/>
      <c r="K63" s="8"/>
      <c r="L63" s="8"/>
      <c r="M63" s="8"/>
      <c r="N63" s="8"/>
      <c r="O63" s="8"/>
      <c r="P63" s="34"/>
      <c r="T63" s="55">
        <v>21</v>
      </c>
      <c r="U63" t="str">
        <f>VLOOKUP(T63,Table1[[#Headers],[#Data]],17,TRUE)</f>
        <v>Steadily growing</v>
      </c>
      <c r="V63" s="34"/>
      <c r="Z63" s="5"/>
    </row>
    <row r="64" spans="1:26" x14ac:dyDescent="0.25">
      <c r="A64" s="8"/>
      <c r="B64" s="8"/>
      <c r="C64" s="8"/>
      <c r="D64" s="8"/>
      <c r="E64" s="8"/>
      <c r="F64" s="8"/>
      <c r="G64" s="8"/>
      <c r="H64" s="34"/>
      <c r="I64" s="8"/>
      <c r="J64" s="8"/>
      <c r="K64" s="8"/>
      <c r="L64" s="8"/>
      <c r="M64" s="8"/>
      <c r="N64" s="8"/>
      <c r="O64" s="8"/>
      <c r="P64" s="34"/>
      <c r="T64" s="55">
        <v>22</v>
      </c>
      <c r="U64" t="str">
        <f>VLOOKUP(T64,Table1[[#Headers],[#Data]],17,TRUE)</f>
        <v>Rapid expansion</v>
      </c>
      <c r="V64" s="34"/>
      <c r="Z64" s="5"/>
    </row>
    <row r="65" spans="1:26" x14ac:dyDescent="0.25">
      <c r="A65" s="8"/>
      <c r="B65" s="8"/>
      <c r="C65" s="8"/>
      <c r="D65" s="8"/>
      <c r="E65" s="8"/>
      <c r="F65" s="8"/>
      <c r="G65" s="8"/>
      <c r="H65" s="34"/>
      <c r="I65" s="8"/>
      <c r="J65" s="8"/>
      <c r="K65" s="8"/>
      <c r="L65" s="8"/>
      <c r="M65" s="8"/>
      <c r="N65" s="8"/>
      <c r="O65" s="8"/>
      <c r="P65" s="34"/>
      <c r="T65" s="55">
        <v>23</v>
      </c>
      <c r="U65" t="str">
        <f>VLOOKUP(T65,Table1[[#Headers],[#Data]],17,TRUE)</f>
        <v>Rapid expansion</v>
      </c>
      <c r="V65" s="34"/>
      <c r="Z65" s="5"/>
    </row>
    <row r="66" spans="1:26" x14ac:dyDescent="0.25">
      <c r="A66" s="8"/>
      <c r="B66" s="8"/>
      <c r="C66" s="8"/>
      <c r="D66" s="8"/>
      <c r="E66" s="8"/>
      <c r="F66" s="8"/>
      <c r="G66" s="8"/>
      <c r="H66" s="34"/>
      <c r="I66" s="8"/>
      <c r="J66" s="8"/>
      <c r="K66" s="8"/>
      <c r="L66" s="8"/>
      <c r="M66" s="8"/>
      <c r="N66" s="8"/>
      <c r="O66" s="8"/>
      <c r="P66" s="34"/>
      <c r="T66" s="55">
        <v>24</v>
      </c>
      <c r="U66" t="str">
        <f>VLOOKUP(T66,Table1[[#Headers],[#Data]],17,TRUE)</f>
        <v>Rapid expansion</v>
      </c>
      <c r="V66" s="34"/>
      <c r="Z66" s="5"/>
    </row>
    <row r="67" spans="1:26" x14ac:dyDescent="0.25">
      <c r="A67" s="8"/>
      <c r="B67" s="8"/>
      <c r="C67" s="8"/>
      <c r="D67" s="8"/>
      <c r="E67" s="8"/>
      <c r="F67" s="8"/>
      <c r="G67" s="8"/>
      <c r="H67" s="34"/>
      <c r="I67" s="8"/>
      <c r="J67" s="8"/>
      <c r="K67" s="8"/>
      <c r="L67" s="8"/>
      <c r="M67" s="8"/>
      <c r="N67" s="8"/>
      <c r="O67" s="8"/>
      <c r="P67" s="34"/>
      <c r="T67" s="55">
        <v>25</v>
      </c>
      <c r="U67" t="str">
        <f>VLOOKUP(T67,Table1[[#Headers],[#Data]],17,TRUE)</f>
        <v>Rapid expansion</v>
      </c>
      <c r="V67" s="34"/>
      <c r="Z67" s="5"/>
    </row>
    <row r="68" spans="1:26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45"/>
      <c r="T68" s="55">
        <v>26</v>
      </c>
      <c r="U68" t="str">
        <f>VLOOKUP(T68,Table1[[#Headers],[#Data]],17,TRUE)</f>
        <v>Steadily growing</v>
      </c>
      <c r="V68" s="34"/>
      <c r="Z68" s="5"/>
    </row>
    <row r="69" spans="1:26" ht="18.75" x14ac:dyDescent="0.3">
      <c r="A69" s="8"/>
      <c r="B69" s="85" t="s">
        <v>87</v>
      </c>
      <c r="C69" s="85"/>
      <c r="D69" s="85"/>
      <c r="E69" s="85"/>
      <c r="F69" s="85"/>
      <c r="G69" s="8"/>
      <c r="H69" s="34"/>
      <c r="I69" s="8"/>
      <c r="J69" s="85" t="s">
        <v>88</v>
      </c>
      <c r="K69" s="85"/>
      <c r="L69" s="85"/>
      <c r="M69" s="85"/>
      <c r="N69" s="85"/>
      <c r="O69" s="8"/>
      <c r="P69" s="34"/>
      <c r="T69" s="55">
        <v>27</v>
      </c>
      <c r="U69" t="str">
        <f>VLOOKUP(T69,Table1[[#Headers],[#Data]],17,TRUE)</f>
        <v>Remaining level</v>
      </c>
      <c r="V69" s="34"/>
      <c r="Z69" s="5"/>
    </row>
    <row r="70" spans="1:26" x14ac:dyDescent="0.25">
      <c r="A70" s="8"/>
      <c r="B70" s="8"/>
      <c r="C70" s="8"/>
      <c r="D70" s="8"/>
      <c r="E70" s="8"/>
      <c r="F70" s="8"/>
      <c r="G70" s="8"/>
      <c r="H70" s="34"/>
      <c r="I70" s="8"/>
      <c r="J70" s="8"/>
      <c r="K70" s="8"/>
      <c r="L70" s="8"/>
      <c r="M70" s="8"/>
      <c r="N70" s="8"/>
      <c r="O70" s="8"/>
      <c r="P70" s="34"/>
      <c r="T70" s="55">
        <v>28</v>
      </c>
      <c r="U70" t="str">
        <f>VLOOKUP(T70,Table1[[#Headers],[#Data]],17,TRUE)</f>
        <v>Rapid expansion</v>
      </c>
      <c r="V70" s="34"/>
      <c r="Z70" s="5"/>
    </row>
    <row r="71" spans="1:26" x14ac:dyDescent="0.25">
      <c r="A71" s="8"/>
      <c r="B71" s="12" t="s">
        <v>4</v>
      </c>
      <c r="C71" s="8"/>
      <c r="D71" s="8"/>
      <c r="E71" s="44" t="s">
        <v>94</v>
      </c>
      <c r="F71" s="12">
        <f>COUNTIF(Table1[Need for specialized education and training programs focusing on green jobs in aviation in South Africa?
],"Yes")</f>
        <v>20</v>
      </c>
      <c r="G71" s="8"/>
      <c r="H71" s="34"/>
      <c r="I71" s="8"/>
      <c r="J71" s="12" t="s">
        <v>4</v>
      </c>
      <c r="K71" s="44"/>
      <c r="L71" s="44"/>
      <c r="M71" s="44" t="s">
        <v>90</v>
      </c>
      <c r="N71" s="12">
        <f>SUMIF('Calculations and Graphs'!T6:T35,1,'Calculations and Graphs'!T6:T35)</f>
        <v>17</v>
      </c>
      <c r="O71" s="8"/>
      <c r="P71" s="34"/>
      <c r="T71" s="55">
        <v>29</v>
      </c>
      <c r="U71" t="str">
        <f>VLOOKUP(T71,Table1[[#Headers],[#Data]],17,TRUE)</f>
        <v>Rapid expansion</v>
      </c>
      <c r="V71" s="34"/>
      <c r="Z71" s="5"/>
    </row>
    <row r="72" spans="1:26" x14ac:dyDescent="0.25">
      <c r="A72" s="8"/>
      <c r="B72" s="38" t="s">
        <v>3</v>
      </c>
      <c r="C72" s="8"/>
      <c r="D72" s="8"/>
      <c r="E72" s="44" t="s">
        <v>94</v>
      </c>
      <c r="F72" s="38">
        <f>COUNTIF(Table1[Need for specialized education and training programs focusing on green jobs in aviation in South Africa?
],"No")</f>
        <v>10</v>
      </c>
      <c r="G72" s="8"/>
      <c r="H72" s="34"/>
      <c r="I72" s="8"/>
      <c r="J72" s="38" t="s">
        <v>3</v>
      </c>
      <c r="K72" s="44"/>
      <c r="L72" s="44"/>
      <c r="M72" s="44" t="s">
        <v>90</v>
      </c>
      <c r="N72" s="38">
        <f>SUMIF('Calculations and Graphs'!$U$6:$U$35,1,'Calculations and Graphs'!$U$6:$U$35)</f>
        <v>12</v>
      </c>
      <c r="O72" s="8"/>
      <c r="P72" s="34"/>
      <c r="T72" s="55">
        <v>30</v>
      </c>
      <c r="U72" t="str">
        <f>VLOOKUP(T72,Table1[[#Headers],[#Data]],17,TRUE)</f>
        <v>Rapid expansion</v>
      </c>
      <c r="V72" s="34"/>
      <c r="Z72" s="5"/>
    </row>
    <row r="73" spans="1:26" x14ac:dyDescent="0.25">
      <c r="A73" s="8"/>
      <c r="B73" s="8"/>
      <c r="C73" s="8"/>
      <c r="D73" s="8"/>
      <c r="E73" s="8"/>
      <c r="F73" s="8"/>
      <c r="G73" s="8"/>
      <c r="H73" s="34"/>
      <c r="I73" s="8"/>
      <c r="J73" s="8"/>
      <c r="K73" s="8"/>
      <c r="L73" s="8"/>
      <c r="M73" s="8"/>
      <c r="N73" s="8"/>
      <c r="O73" s="8"/>
      <c r="P73" s="34"/>
      <c r="T73" s="34"/>
      <c r="U73" s="34"/>
      <c r="V73" s="34"/>
      <c r="W73" s="34"/>
      <c r="X73" s="34"/>
      <c r="Y73" s="34"/>
      <c r="Z73" s="34"/>
    </row>
    <row r="74" spans="1:26" x14ac:dyDescent="0.25">
      <c r="A74" s="8"/>
      <c r="B74" s="8"/>
      <c r="C74" s="8"/>
      <c r="D74" s="8"/>
      <c r="E74" s="8"/>
      <c r="F74" s="8"/>
      <c r="G74" s="8"/>
      <c r="H74" s="34"/>
      <c r="I74" s="8"/>
      <c r="J74" s="8"/>
      <c r="K74" s="8"/>
      <c r="L74" s="8"/>
      <c r="M74" s="8"/>
      <c r="N74" s="8"/>
      <c r="O74" s="8"/>
      <c r="P74" s="34"/>
      <c r="T74" s="75"/>
      <c r="U74" s="72"/>
      <c r="V74" s="72"/>
      <c r="W74" s="72"/>
      <c r="X74" s="72"/>
      <c r="Y74" s="72"/>
      <c r="Z74" s="73"/>
    </row>
    <row r="75" spans="1:26" x14ac:dyDescent="0.25">
      <c r="A75" s="8"/>
      <c r="B75" s="8"/>
      <c r="C75" s="8"/>
      <c r="D75" s="8"/>
      <c r="E75" s="8"/>
      <c r="F75" s="8"/>
      <c r="G75" s="8"/>
      <c r="H75" s="34"/>
      <c r="I75" s="8"/>
      <c r="J75" s="8"/>
      <c r="K75" s="8"/>
      <c r="L75" s="8"/>
      <c r="M75" s="8"/>
      <c r="N75" s="8"/>
      <c r="O75" s="8"/>
      <c r="P75" s="34"/>
      <c r="T75" s="76"/>
      <c r="U75" s="77"/>
      <c r="V75" s="77"/>
      <c r="W75" s="77"/>
      <c r="X75" s="77"/>
      <c r="Y75" s="77"/>
      <c r="Z75" s="78"/>
    </row>
    <row r="76" spans="1:26" x14ac:dyDescent="0.25">
      <c r="A76" s="8"/>
      <c r="B76" s="8"/>
      <c r="C76" s="8"/>
      <c r="D76" s="8"/>
      <c r="E76" s="8"/>
      <c r="F76" s="8"/>
      <c r="G76" s="8"/>
      <c r="H76" s="34"/>
      <c r="I76" s="8"/>
      <c r="J76" s="8"/>
      <c r="K76" s="8"/>
      <c r="L76" s="8"/>
      <c r="M76" s="8"/>
      <c r="N76" s="8"/>
      <c r="O76" s="8"/>
      <c r="P76" s="34"/>
      <c r="T76" s="76"/>
      <c r="U76" s="77"/>
      <c r="V76" s="77"/>
      <c r="W76" s="77"/>
      <c r="X76" s="77"/>
      <c r="Y76" s="77"/>
      <c r="Z76" s="78"/>
    </row>
    <row r="77" spans="1:26" x14ac:dyDescent="0.25">
      <c r="A77" s="8"/>
      <c r="B77" s="8"/>
      <c r="C77" s="8"/>
      <c r="D77" s="8"/>
      <c r="E77" s="8"/>
      <c r="F77" s="8"/>
      <c r="G77" s="8"/>
      <c r="H77" s="34"/>
      <c r="I77" s="8"/>
      <c r="J77" s="8"/>
      <c r="K77" s="8"/>
      <c r="L77" s="8"/>
      <c r="M77" s="8"/>
      <c r="N77" s="8"/>
      <c r="O77" s="8"/>
      <c r="P77" s="34"/>
      <c r="T77" s="76"/>
      <c r="U77" s="77"/>
      <c r="V77" s="77"/>
      <c r="W77" s="77"/>
      <c r="X77" s="77"/>
      <c r="Y77" s="77"/>
      <c r="Z77" s="78"/>
    </row>
    <row r="78" spans="1:26" x14ac:dyDescent="0.25">
      <c r="A78" s="8"/>
      <c r="B78" s="8"/>
      <c r="C78" s="8"/>
      <c r="D78" s="8"/>
      <c r="E78" s="8"/>
      <c r="F78" s="8"/>
      <c r="G78" s="8"/>
      <c r="H78" s="34"/>
      <c r="I78" s="8"/>
      <c r="J78" s="8"/>
      <c r="K78" s="8"/>
      <c r="L78" s="8"/>
      <c r="M78" s="8"/>
      <c r="N78" s="8"/>
      <c r="O78" s="8"/>
      <c r="P78" s="34"/>
      <c r="T78" s="76"/>
      <c r="U78" s="77"/>
      <c r="V78" s="77"/>
      <c r="W78" s="77"/>
      <c r="X78" s="77"/>
      <c r="Y78" s="77"/>
      <c r="Z78" s="78"/>
    </row>
    <row r="79" spans="1:26" x14ac:dyDescent="0.25">
      <c r="A79" s="8"/>
      <c r="B79" s="8"/>
      <c r="C79" s="8"/>
      <c r="D79" s="8"/>
      <c r="E79" s="8"/>
      <c r="F79" s="8"/>
      <c r="G79" s="8"/>
      <c r="H79" s="34"/>
      <c r="I79" s="8"/>
      <c r="J79" s="8"/>
      <c r="K79" s="8"/>
      <c r="L79" s="8"/>
      <c r="M79" s="8"/>
      <c r="N79" s="8"/>
      <c r="O79" s="8"/>
      <c r="P79" s="34"/>
      <c r="T79" s="76"/>
      <c r="U79" s="77"/>
      <c r="V79" s="77"/>
      <c r="W79" s="77"/>
      <c r="X79" s="77"/>
      <c r="Y79" s="77"/>
      <c r="Z79" s="78"/>
    </row>
    <row r="80" spans="1:26" x14ac:dyDescent="0.25">
      <c r="A80" s="8"/>
      <c r="B80" s="8"/>
      <c r="C80" s="8"/>
      <c r="D80" s="8"/>
      <c r="E80" s="8"/>
      <c r="F80" s="8"/>
      <c r="G80" s="8"/>
      <c r="H80" s="34"/>
      <c r="I80" s="8"/>
      <c r="J80" s="8"/>
      <c r="K80" s="8"/>
      <c r="L80" s="8"/>
      <c r="M80" s="8"/>
      <c r="N80" s="8"/>
      <c r="O80" s="8"/>
      <c r="P80" s="34"/>
      <c r="T80" s="76"/>
      <c r="U80" s="77"/>
      <c r="V80" s="77"/>
      <c r="W80" s="77"/>
      <c r="X80" s="77"/>
      <c r="Y80" s="77"/>
      <c r="Z80" s="78"/>
    </row>
    <row r="81" spans="1:26" x14ac:dyDescent="0.25">
      <c r="A81" s="8"/>
      <c r="B81" s="8"/>
      <c r="C81" s="8"/>
      <c r="D81" s="8"/>
      <c r="E81" s="8"/>
      <c r="F81" s="8"/>
      <c r="G81" s="8"/>
      <c r="H81" s="34"/>
      <c r="I81" s="8"/>
      <c r="J81" s="8"/>
      <c r="K81" s="8"/>
      <c r="L81" s="8"/>
      <c r="M81" s="8"/>
      <c r="N81" s="8"/>
      <c r="O81" s="8"/>
      <c r="P81" s="34"/>
      <c r="T81" s="76"/>
      <c r="U81" s="77"/>
      <c r="V81" s="77"/>
      <c r="W81" s="77"/>
      <c r="X81" s="77"/>
      <c r="Y81" s="77"/>
      <c r="Z81" s="78"/>
    </row>
    <row r="82" spans="1:26" x14ac:dyDescent="0.25">
      <c r="A82" s="8"/>
      <c r="B82" s="8"/>
      <c r="C82" s="8"/>
      <c r="D82" s="8"/>
      <c r="E82" s="8"/>
      <c r="F82" s="8"/>
      <c r="G82" s="8"/>
      <c r="H82" s="34"/>
      <c r="I82" s="8"/>
      <c r="J82" s="8"/>
      <c r="K82" s="8"/>
      <c r="L82" s="8"/>
      <c r="M82" s="8"/>
      <c r="N82" s="8"/>
      <c r="O82" s="8"/>
      <c r="P82" s="34"/>
      <c r="T82" s="76"/>
      <c r="U82" s="77"/>
      <c r="V82" s="77"/>
      <c r="W82" s="77"/>
      <c r="X82" s="77"/>
      <c r="Y82" s="77"/>
      <c r="Z82" s="78"/>
    </row>
    <row r="83" spans="1:26" x14ac:dyDescent="0.25">
      <c r="A83" s="8"/>
      <c r="B83" s="8"/>
      <c r="C83" s="8"/>
      <c r="D83" s="8"/>
      <c r="E83" s="8"/>
      <c r="F83" s="8"/>
      <c r="G83" s="8"/>
      <c r="H83" s="34"/>
      <c r="I83" s="8"/>
      <c r="J83" s="8"/>
      <c r="K83" s="8"/>
      <c r="L83" s="8"/>
      <c r="M83" s="8"/>
      <c r="N83" s="8"/>
      <c r="O83" s="8"/>
      <c r="P83" s="34"/>
      <c r="T83" s="76"/>
      <c r="U83" s="77"/>
      <c r="V83" s="77"/>
      <c r="W83" s="77"/>
      <c r="X83" s="77"/>
      <c r="Y83" s="77"/>
      <c r="Z83" s="78"/>
    </row>
    <row r="84" spans="1:26" x14ac:dyDescent="0.25">
      <c r="A84" s="8"/>
      <c r="B84" s="8"/>
      <c r="C84" s="8"/>
      <c r="D84" s="8"/>
      <c r="E84" s="8"/>
      <c r="F84" s="8"/>
      <c r="G84" s="8"/>
      <c r="H84" s="34"/>
      <c r="I84" s="8"/>
      <c r="J84" s="8"/>
      <c r="K84" s="8"/>
      <c r="L84" s="8"/>
      <c r="M84" s="8"/>
      <c r="N84" s="8"/>
      <c r="O84" s="8"/>
      <c r="P84" s="34"/>
      <c r="T84" s="76"/>
      <c r="U84" s="77"/>
      <c r="V84" s="77"/>
      <c r="W84" s="77"/>
      <c r="X84" s="77"/>
      <c r="Y84" s="77"/>
      <c r="Z84" s="78"/>
    </row>
    <row r="85" spans="1:26" x14ac:dyDescent="0.25">
      <c r="A85" s="8"/>
      <c r="B85" s="8"/>
      <c r="C85" s="8"/>
      <c r="D85" s="8"/>
      <c r="E85" s="8"/>
      <c r="F85" s="8"/>
      <c r="G85" s="8"/>
      <c r="H85" s="34"/>
      <c r="I85" s="8"/>
      <c r="J85" s="8"/>
      <c r="K85" s="8"/>
      <c r="L85" s="8"/>
      <c r="M85" s="8"/>
      <c r="N85" s="8"/>
      <c r="O85" s="8"/>
      <c r="P85" s="34"/>
      <c r="T85" s="76"/>
      <c r="U85" s="77"/>
      <c r="V85" s="77"/>
      <c r="W85" s="77"/>
      <c r="X85" s="77"/>
      <c r="Y85" s="77"/>
      <c r="Z85" s="78"/>
    </row>
    <row r="86" spans="1:26" x14ac:dyDescent="0.25">
      <c r="A86" s="8"/>
      <c r="B86" s="8"/>
      <c r="C86" s="8"/>
      <c r="D86" s="8"/>
      <c r="E86" s="8"/>
      <c r="F86" s="8"/>
      <c r="G86" s="8"/>
      <c r="H86" s="34"/>
      <c r="I86" s="8"/>
      <c r="J86" s="8"/>
      <c r="K86" s="8"/>
      <c r="L86" s="8"/>
      <c r="M86" s="8"/>
      <c r="N86" s="8"/>
      <c r="O86" s="8"/>
      <c r="P86" s="34"/>
      <c r="T86" s="76"/>
      <c r="U86" s="77"/>
      <c r="V86" s="77"/>
      <c r="W86" s="77"/>
      <c r="X86" s="77"/>
      <c r="Y86" s="77"/>
      <c r="Z86" s="78"/>
    </row>
    <row r="87" spans="1:26" x14ac:dyDescent="0.25">
      <c r="A87" s="8"/>
      <c r="B87" s="8"/>
      <c r="C87" s="8"/>
      <c r="D87" s="8"/>
      <c r="E87" s="8"/>
      <c r="F87" s="8"/>
      <c r="G87" s="8"/>
      <c r="H87" s="34"/>
      <c r="I87" s="8"/>
      <c r="J87" s="8"/>
      <c r="K87" s="8"/>
      <c r="L87" s="8"/>
      <c r="M87" s="8"/>
      <c r="N87" s="8"/>
      <c r="O87" s="8"/>
      <c r="P87" s="34"/>
      <c r="T87" s="76"/>
      <c r="U87" s="77"/>
      <c r="V87" s="77"/>
      <c r="W87" s="77"/>
      <c r="X87" s="77"/>
      <c r="Y87" s="77"/>
      <c r="Z87" s="78"/>
    </row>
    <row r="88" spans="1:26" ht="15.75" thickBot="1" x14ac:dyDescent="0.3">
      <c r="A88" s="8"/>
      <c r="B88" s="8"/>
      <c r="C88" s="8"/>
      <c r="D88" s="8"/>
      <c r="E88" s="8"/>
      <c r="F88" s="8"/>
      <c r="G88" s="8"/>
      <c r="H88" s="34"/>
      <c r="I88" s="8"/>
      <c r="J88" s="8"/>
      <c r="K88" s="8"/>
      <c r="L88" s="8"/>
      <c r="M88" s="8"/>
      <c r="N88" s="8"/>
      <c r="O88" s="8"/>
      <c r="P88" s="34"/>
      <c r="T88" s="79"/>
      <c r="U88" s="80"/>
      <c r="V88" s="80"/>
      <c r="W88" s="80"/>
      <c r="X88" s="80"/>
      <c r="Y88" s="80"/>
      <c r="Z88" s="81"/>
    </row>
  </sheetData>
  <mergeCells count="30">
    <mergeCell ref="B69:F69"/>
    <mergeCell ref="J69:N69"/>
    <mergeCell ref="Q5:R5"/>
    <mergeCell ref="J26:N26"/>
    <mergeCell ref="B48:F48"/>
    <mergeCell ref="J48:N48"/>
    <mergeCell ref="B26:F26"/>
    <mergeCell ref="W47:X47"/>
    <mergeCell ref="T74:Z88"/>
    <mergeCell ref="L49:L51"/>
    <mergeCell ref="M6:M9"/>
    <mergeCell ref="W5:Z5"/>
    <mergeCell ref="T39:U40"/>
    <mergeCell ref="T42:U42"/>
    <mergeCell ref="W43:X43"/>
    <mergeCell ref="W44:X44"/>
    <mergeCell ref="W45:X45"/>
    <mergeCell ref="W46:X46"/>
    <mergeCell ref="W36:X36"/>
    <mergeCell ref="W42:Z42"/>
    <mergeCell ref="T4:Z4"/>
    <mergeCell ref="A4:O4"/>
    <mergeCell ref="T5:U5"/>
    <mergeCell ref="L28:L30"/>
    <mergeCell ref="A1:D1"/>
    <mergeCell ref="B5:E5"/>
    <mergeCell ref="J5:N5"/>
    <mergeCell ref="A2:D2"/>
    <mergeCell ref="A3:D3"/>
    <mergeCell ref="E1:Z3"/>
  </mergeCells>
  <conditionalFormatting sqref="T7:U36">
    <cfRule type="cellIs" dxfId="30" priority="36" operator="equal">
      <formula>1</formula>
    </cfRule>
  </conditionalFormatting>
  <conditionalFormatting sqref="T43:U72">
    <cfRule type="containsText" dxfId="29" priority="29" operator="containsText" text="Declinig">
      <formula>NOT(ISERROR(SEARCH("Declinig",T43)))</formula>
    </cfRule>
    <cfRule type="containsText" dxfId="28" priority="30" operator="containsText" text="Rapid expansion">
      <formula>NOT(ISERROR(SEARCH("Rapid expansion",T43)))</formula>
    </cfRule>
    <cfRule type="containsText" dxfId="27" priority="31" operator="containsText" text="Steadily growing">
      <formula>NOT(ISERROR(SEARCH("Steadily growing",T43)))</formula>
    </cfRule>
    <cfRule type="containsText" dxfId="26" priority="32" operator="containsText" text="Remaining Level">
      <formula>NOT(ISERROR(SEARCH("Remaining Level",T43)))</formula>
    </cfRule>
  </conditionalFormatting>
  <conditionalFormatting sqref="W43:W45">
    <cfRule type="containsText" dxfId="25" priority="5" operator="containsText" text="Declinig">
      <formula>NOT(ISERROR(SEARCH("Declinig",W43)))</formula>
    </cfRule>
    <cfRule type="containsText" dxfId="24" priority="6" operator="containsText" text="Rapid expansion">
      <formula>NOT(ISERROR(SEARCH("Rapid expansion",W43)))</formula>
    </cfRule>
    <cfRule type="containsText" dxfId="23" priority="7" operator="containsText" text="Steadily growing">
      <formula>NOT(ISERROR(SEARCH("Steadily growing",W43)))</formula>
    </cfRule>
    <cfRule type="containsText" dxfId="22" priority="8" operator="containsText" text="Remaining Level">
      <formula>NOT(ISERROR(SEARCH("Remaining Level",W43)))</formula>
    </cfRule>
  </conditionalFormatting>
  <conditionalFormatting sqref="X6:X35">
    <cfRule type="notContainsText" dxfId="21" priority="35" operator="notContains" text="Female">
      <formula>ISERROR(SEARCH("Female",X6))</formula>
    </cfRule>
  </conditionalFormatting>
  <conditionalFormatting sqref="W46">
    <cfRule type="containsText" dxfId="3" priority="1" operator="containsText" text="Declinig">
      <formula>NOT(ISERROR(SEARCH("Declinig",W46)))</formula>
    </cfRule>
    <cfRule type="containsText" dxfId="2" priority="2" operator="containsText" text="Rapid expansion">
      <formula>NOT(ISERROR(SEARCH("Rapid expansion",W46)))</formula>
    </cfRule>
    <cfRule type="containsText" dxfId="1" priority="3" operator="containsText" text="Steadily growing">
      <formula>NOT(ISERROR(SEARCH("Steadily growing",W46)))</formula>
    </cfRule>
    <cfRule type="containsText" dxfId="0" priority="4" operator="containsText" text="Remaining Level">
      <formula>NOT(ISERROR(SEARCH("Remaining Level",W46)))</formula>
    </cfRule>
  </conditionalFormatting>
  <printOptions horizontalCentered="1" gridLines="1"/>
  <pageMargins left="0.70866141732283472" right="0.70866141732283472" top="0.74803149606299213" bottom="0.74803149606299213" header="0.31496062992125984" footer="0.31496062992125984"/>
  <pageSetup paperSize="9" orientation="portrait" blackAndWhite="1" horizontalDpi="0" verticalDpi="0" r:id="rId4"/>
  <headerFooter>
    <oddHeader>Page &amp;P of &amp;N</oddHeader>
    <oddFooter>&amp;CPrepared by Byron Leukemans &amp;D&amp;RPage &amp;P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 results</vt:lpstr>
      <vt:lpstr>Calculations and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Leukemans</dc:creator>
  <cp:lastModifiedBy>Leukemans, Shaun</cp:lastModifiedBy>
  <dcterms:created xsi:type="dcterms:W3CDTF">2024-05-01T14:09:28Z</dcterms:created>
  <dcterms:modified xsi:type="dcterms:W3CDTF">2024-05-10T10:57:13Z</dcterms:modified>
</cp:coreProperties>
</file>